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emenkeu-my.sharepoint.com/personal/advianto_maringgih_kemenkeu_go_id/Documents/Back Up Download/2024/"/>
    </mc:Choice>
  </mc:AlternateContent>
  <xr:revisionPtr revIDLastSave="4" documentId="8_{838EF98B-5735-4B78-AAEE-1D19FC44B5C9}" xr6:coauthVersionLast="47" xr6:coauthVersionMax="47" xr10:uidLastSave="{FDE8CBA5-00C1-4C35-8126-03E289047AC8}"/>
  <bookViews>
    <workbookView xWindow="-120" yWindow="-120" windowWidth="20730" windowHeight="11040" tabRatio="715" activeTab="1" xr2:uid="{00000000-000D-0000-FFFF-FFFF00000000}"/>
  </bookViews>
  <sheets>
    <sheet name="Contoh_SBN" sheetId="5" state="hidden" r:id="rId1"/>
    <sheet name="SBN" sheetId="1" r:id="rId2"/>
    <sheet name="Sheet1" sheetId="6" state="hidden" r:id="rId3"/>
  </sheets>
  <externalReferences>
    <externalReference r:id="rId4"/>
    <externalReference r:id="rId5"/>
    <externalReference r:id="rId6"/>
  </externalReferences>
  <definedNames>
    <definedName name="aa">#REF!</definedName>
    <definedName name="abc">[1]SummBB!#REF!</definedName>
    <definedName name="abcd">#REF!</definedName>
    <definedName name="ac">#REF!</definedName>
    <definedName name="ad">#REF!</definedName>
    <definedName name="ak">#REF!</definedName>
    <definedName name="am">#REF!</definedName>
    <definedName name="as">#REF!</definedName>
    <definedName name="az">#REF!</definedName>
    <definedName name="Bondata">'[2]Bond Data'!$A$4:$C$28</definedName>
    <definedName name="BondData">'[3]Bond Data'!$A$4:$C$28</definedName>
    <definedName name="hg">#REF!</definedName>
    <definedName name="k">[1]SummBB!#REF!</definedName>
    <definedName name="ki">#REF!</definedName>
    <definedName name="kl">#REF!</definedName>
    <definedName name="ni">#REF!</definedName>
    <definedName name="oi">#REF!</definedName>
    <definedName name="oke">#REF!</definedName>
    <definedName name="ol">#REF!</definedName>
    <definedName name="pp">[1]SummBB!#REF!</definedName>
    <definedName name="_xlnm.Print_Area" localSheetId="0">Contoh_SBN!$A$1:$Q$250</definedName>
    <definedName name="_xlnm.Print_Titles" localSheetId="0">Contoh_SBN!$1:$3</definedName>
    <definedName name="_xlnm.Print_Titles" localSheetId="1">SBN!$1:$3</definedName>
    <definedName name="Skenario_2_a_L" localSheetId="0">[1]SummBB!#REF!</definedName>
    <definedName name="Skenario_2_a_L">[1]SummBB!#REF!</definedName>
    <definedName name="Skenario_2_a_P" localSheetId="0">[1]SummBB!#REF!</definedName>
    <definedName name="Skenario_2_a_P">[1]SummBB!#REF!</definedName>
    <definedName name="th_2003" localSheetId="0">#REF!</definedName>
    <definedName name="th_2003">#REF!</definedName>
    <definedName name="th_2004" localSheetId="0">#REF!</definedName>
    <definedName name="th_2004">#REF!</definedName>
    <definedName name="th_2005" localSheetId="0">#REF!</definedName>
    <definedName name="th_2005">#REF!</definedName>
    <definedName name="th_2006" localSheetId="0">#REF!</definedName>
    <definedName name="th_2006">#REF!</definedName>
    <definedName name="u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57" i="1" l="1"/>
  <c r="K457" i="1"/>
  <c r="K435" i="1"/>
  <c r="K433" i="1"/>
  <c r="L387" i="1"/>
  <c r="K387" i="1"/>
  <c r="L451" i="1"/>
  <c r="K451" i="1"/>
  <c r="M450" i="1"/>
  <c r="M449" i="1"/>
  <c r="M448" i="1"/>
  <c r="M447" i="1"/>
  <c r="M446" i="1"/>
  <c r="M445" i="1"/>
  <c r="L431" i="1"/>
  <c r="K431" i="1"/>
  <c r="M430" i="1"/>
  <c r="M429" i="1"/>
  <c r="M428" i="1"/>
  <c r="M427" i="1"/>
  <c r="M426" i="1"/>
  <c r="M425" i="1"/>
  <c r="M424" i="1"/>
  <c r="M415" i="1"/>
  <c r="M414" i="1"/>
  <c r="L416" i="1"/>
  <c r="K416" i="1"/>
  <c r="L413" i="1"/>
  <c r="K413" i="1"/>
  <c r="M412" i="1"/>
  <c r="M411" i="1"/>
  <c r="M410" i="1"/>
  <c r="M409" i="1"/>
  <c r="M408" i="1"/>
  <c r="M407" i="1"/>
  <c r="M406" i="1"/>
  <c r="M405" i="1"/>
  <c r="L395" i="1"/>
  <c r="K395" i="1"/>
  <c r="M394" i="1"/>
  <c r="M393" i="1"/>
  <c r="M392" i="1"/>
  <c r="M391" i="1"/>
  <c r="M390" i="1"/>
  <c r="M389" i="1"/>
  <c r="L377" i="1"/>
  <c r="K377" i="1"/>
  <c r="M376" i="1"/>
  <c r="M375" i="1"/>
  <c r="M374" i="1"/>
  <c r="M373" i="1"/>
  <c r="M372" i="1"/>
  <c r="M371" i="1"/>
  <c r="L359" i="1"/>
  <c r="L360" i="1" s="1"/>
  <c r="K359" i="1"/>
  <c r="K360" i="1" s="1"/>
  <c r="M357" i="1"/>
  <c r="L353" i="1"/>
  <c r="K353" i="1"/>
  <c r="M352" i="1"/>
  <c r="M351" i="1"/>
  <c r="M350" i="1"/>
  <c r="M349" i="1"/>
  <c r="M348" i="1"/>
  <c r="M347" i="1"/>
  <c r="L338" i="1"/>
  <c r="K338" i="1"/>
  <c r="M337" i="1"/>
  <c r="M336" i="1"/>
  <c r="M335" i="1"/>
  <c r="M334" i="1"/>
  <c r="M333" i="1"/>
  <c r="M332" i="1"/>
  <c r="L317" i="1"/>
  <c r="K317" i="1"/>
  <c r="M316" i="1"/>
  <c r="M315" i="1"/>
  <c r="M314" i="1"/>
  <c r="M313" i="1"/>
  <c r="M312" i="1"/>
  <c r="M311" i="1"/>
  <c r="L302" i="1"/>
  <c r="K302" i="1"/>
  <c r="L300" i="1"/>
  <c r="K300" i="1"/>
  <c r="M299" i="1"/>
  <c r="M298" i="1"/>
  <c r="M297" i="1"/>
  <c r="M296" i="1"/>
  <c r="M295" i="1"/>
  <c r="M294" i="1"/>
  <c r="M293" i="1"/>
  <c r="M292" i="1"/>
  <c r="M273" i="1"/>
  <c r="M272" i="1"/>
  <c r="L282" i="1"/>
  <c r="K282" i="1"/>
  <c r="M281" i="1"/>
  <c r="M280" i="1"/>
  <c r="M279" i="1"/>
  <c r="M278" i="1"/>
  <c r="M277" i="1"/>
  <c r="M276" i="1"/>
  <c r="L274" i="1"/>
  <c r="K274" i="1"/>
  <c r="L263" i="1"/>
  <c r="K263" i="1"/>
  <c r="K264" i="1" s="1"/>
  <c r="M261" i="1"/>
  <c r="L260" i="1"/>
  <c r="K260" i="1"/>
  <c r="M259" i="1"/>
  <c r="M258" i="1"/>
  <c r="M257" i="1"/>
  <c r="M256" i="1"/>
  <c r="M255" i="1"/>
  <c r="M254" i="1"/>
  <c r="L245" i="1"/>
  <c r="K245" i="1"/>
  <c r="L243" i="1"/>
  <c r="K243" i="1"/>
  <c r="M242" i="1"/>
  <c r="M241" i="1"/>
  <c r="M240" i="1"/>
  <c r="M239" i="1"/>
  <c r="M238" i="1"/>
  <c r="M237" i="1"/>
  <c r="L224" i="1"/>
  <c r="K224" i="1"/>
  <c r="M223" i="1"/>
  <c r="M222" i="1"/>
  <c r="M221" i="1"/>
  <c r="M220" i="1"/>
  <c r="M219" i="1"/>
  <c r="M218" i="1"/>
  <c r="L202" i="1"/>
  <c r="K202" i="1"/>
  <c r="M201" i="1"/>
  <c r="M200" i="1"/>
  <c r="M199" i="1"/>
  <c r="M198" i="1"/>
  <c r="M196" i="1"/>
  <c r="M195" i="1"/>
  <c r="L192" i="1"/>
  <c r="K192" i="1"/>
  <c r="L190" i="1"/>
  <c r="K190" i="1"/>
  <c r="L188" i="1"/>
  <c r="K188" i="1"/>
  <c r="L186" i="1"/>
  <c r="K186" i="1"/>
  <c r="L174" i="1"/>
  <c r="K174" i="1"/>
  <c r="K175" i="1" s="1"/>
  <c r="M172" i="1"/>
  <c r="L171" i="1"/>
  <c r="K171" i="1"/>
  <c r="M170" i="1"/>
  <c r="M169" i="1"/>
  <c r="M168" i="1"/>
  <c r="M167" i="1"/>
  <c r="M166" i="1"/>
  <c r="M165" i="1"/>
  <c r="M164" i="1"/>
  <c r="L152" i="1"/>
  <c r="K152" i="1"/>
  <c r="M151" i="1"/>
  <c r="M150" i="1"/>
  <c r="M149" i="1"/>
  <c r="M148" i="1"/>
  <c r="M147" i="1"/>
  <c r="M146" i="1"/>
  <c r="M145" i="1"/>
  <c r="L130" i="1"/>
  <c r="K130" i="1"/>
  <c r="M129" i="1"/>
  <c r="M128" i="1"/>
  <c r="M127" i="1"/>
  <c r="M126" i="1"/>
  <c r="M125" i="1"/>
  <c r="M124" i="1"/>
  <c r="M123" i="1"/>
  <c r="L114" i="1"/>
  <c r="L115" i="1" s="1"/>
  <c r="K114" i="1"/>
  <c r="K115" i="1" s="1"/>
  <c r="M112" i="1"/>
  <c r="L111" i="1"/>
  <c r="K111" i="1"/>
  <c r="M110" i="1"/>
  <c r="M109" i="1"/>
  <c r="M108" i="1"/>
  <c r="M107" i="1"/>
  <c r="M106" i="1"/>
  <c r="M105" i="1"/>
  <c r="M104" i="1"/>
  <c r="L96" i="1"/>
  <c r="K96" i="1"/>
  <c r="M95" i="1"/>
  <c r="M94" i="1"/>
  <c r="M93" i="1"/>
  <c r="M92" i="1"/>
  <c r="M91" i="1"/>
  <c r="M90" i="1"/>
  <c r="M89" i="1"/>
  <c r="L77" i="1"/>
  <c r="K77" i="1"/>
  <c r="M76" i="1"/>
  <c r="M75" i="1"/>
  <c r="M74" i="1"/>
  <c r="M73" i="1"/>
  <c r="M72" i="1"/>
  <c r="M71" i="1"/>
  <c r="M70" i="1"/>
  <c r="K69" i="1"/>
  <c r="L68" i="1"/>
  <c r="M68" i="1" s="1"/>
  <c r="L67" i="1"/>
  <c r="L59" i="1"/>
  <c r="K59" i="1"/>
  <c r="M58" i="1"/>
  <c r="M57" i="1"/>
  <c r="M56" i="1"/>
  <c r="M55" i="1"/>
  <c r="M54" i="1"/>
  <c r="M53" i="1"/>
  <c r="M52" i="1"/>
  <c r="M51" i="1"/>
  <c r="K47" i="1"/>
  <c r="K48" i="1" s="1"/>
  <c r="L46" i="1"/>
  <c r="L45" i="1"/>
  <c r="M45" i="1" s="1"/>
  <c r="L37" i="1"/>
  <c r="K37" i="1"/>
  <c r="M36" i="1"/>
  <c r="M35" i="1"/>
  <c r="M34" i="1"/>
  <c r="M33" i="1"/>
  <c r="M32" i="1"/>
  <c r="M31" i="1"/>
  <c r="M30" i="1"/>
  <c r="K19" i="1"/>
  <c r="L18" i="1"/>
  <c r="K17" i="1"/>
  <c r="L17" i="1" s="1"/>
  <c r="L16" i="1"/>
  <c r="K15" i="1"/>
  <c r="L15" i="1" s="1"/>
  <c r="L14" i="1"/>
  <c r="L13" i="1"/>
  <c r="K13" i="1"/>
  <c r="M12" i="1"/>
  <c r="M11" i="1"/>
  <c r="M10" i="1"/>
  <c r="M9" i="1"/>
  <c r="M8" i="1"/>
  <c r="M7" i="1"/>
  <c r="M6" i="1"/>
  <c r="K5" i="1"/>
  <c r="L4" i="1"/>
  <c r="L5" i="1" s="1"/>
  <c r="M387" i="1" l="1"/>
  <c r="M263" i="1"/>
  <c r="M192" i="1"/>
  <c r="M359" i="1"/>
  <c r="K193" i="1"/>
  <c r="M188" i="1"/>
  <c r="M190" i="1"/>
  <c r="L264" i="1"/>
  <c r="M174" i="1"/>
  <c r="L175" i="1"/>
  <c r="L193" i="1"/>
  <c r="M186" i="1"/>
  <c r="L69" i="1"/>
  <c r="M114" i="1"/>
  <c r="K20" i="1"/>
  <c r="L19" i="1"/>
  <c r="L20" i="1" s="1"/>
  <c r="M67" i="1"/>
  <c r="L47" i="1"/>
  <c r="L48" i="1" s="1"/>
  <c r="M4" i="1"/>
  <c r="L456" i="1" l="1"/>
  <c r="K456" i="1"/>
  <c r="L235" i="1"/>
  <c r="K235" i="1"/>
  <c r="L154" i="1"/>
  <c r="K154" i="1"/>
  <c r="L435" i="1"/>
  <c r="L433" i="1"/>
  <c r="L434" i="1"/>
  <c r="L432" i="1"/>
  <c r="M438" i="1"/>
  <c r="M439" i="1"/>
  <c r="M440" i="1"/>
  <c r="M441" i="1"/>
  <c r="M442" i="1"/>
  <c r="M437" i="1"/>
  <c r="L443" i="1"/>
  <c r="K443" i="1"/>
  <c r="M417" i="1"/>
  <c r="M418" i="1"/>
  <c r="M397" i="1"/>
  <c r="M400" i="1"/>
  <c r="M396" i="1"/>
  <c r="L402" i="1"/>
  <c r="K402" i="1"/>
  <c r="L423" i="1"/>
  <c r="K423" i="1"/>
  <c r="M420" i="1"/>
  <c r="M379" i="1"/>
  <c r="M380" i="1"/>
  <c r="M381" i="1"/>
  <c r="M378" i="1"/>
  <c r="L384" i="1"/>
  <c r="K384" i="1"/>
  <c r="M329" i="1"/>
  <c r="M318" i="1"/>
  <c r="L330" i="1"/>
  <c r="K330" i="1"/>
  <c r="L356" i="1"/>
  <c r="K356" i="1"/>
  <c r="M362" i="1"/>
  <c r="M365" i="1"/>
  <c r="L367" i="1"/>
  <c r="M366" i="1" s="1"/>
  <c r="K367" i="1"/>
  <c r="M340" i="1"/>
  <c r="M342" i="1"/>
  <c r="M343" i="1"/>
  <c r="L345" i="1"/>
  <c r="K345" i="1"/>
  <c r="L319" i="1"/>
  <c r="K319" i="1"/>
  <c r="M321" i="1"/>
  <c r="M322" i="1"/>
  <c r="M323" i="1"/>
  <c r="M324" i="1"/>
  <c r="M320" i="1"/>
  <c r="M303" i="1"/>
  <c r="L326" i="1"/>
  <c r="M325" i="1" s="1"/>
  <c r="K326" i="1"/>
  <c r="L309" i="1"/>
  <c r="M304" i="1"/>
  <c r="M305" i="1"/>
  <c r="M306" i="1"/>
  <c r="M307" i="1"/>
  <c r="K309" i="1"/>
  <c r="M308" i="1"/>
  <c r="K403" i="1" l="1"/>
  <c r="L403" i="1"/>
  <c r="L368" i="1"/>
  <c r="K368" i="1"/>
  <c r="K436" i="1"/>
  <c r="K452" i="1" s="1"/>
  <c r="L436" i="1"/>
  <c r="L452" i="1" s="1"/>
  <c r="M356" i="1"/>
  <c r="M344" i="1"/>
  <c r="L291" i="1"/>
  <c r="L327" i="1" s="1"/>
  <c r="K291" i="1"/>
  <c r="K327" i="1" s="1"/>
  <c r="M290" i="1"/>
  <c r="M289" i="1"/>
  <c r="M288" i="1"/>
  <c r="M287" i="1"/>
  <c r="M286" i="1"/>
  <c r="M266" i="1"/>
  <c r="M267" i="1"/>
  <c r="M268" i="1"/>
  <c r="L271" i="1"/>
  <c r="K271" i="1"/>
  <c r="M270" i="1"/>
  <c r="M269" i="1"/>
  <c r="K252" i="1"/>
  <c r="L252" i="1"/>
  <c r="M251" i="1"/>
  <c r="M250" i="1"/>
  <c r="M249" i="1"/>
  <c r="M248" i="1"/>
  <c r="M247" i="1"/>
  <c r="L283" i="1" l="1"/>
  <c r="K283" i="1"/>
  <c r="L231" i="1"/>
  <c r="K231" i="1"/>
  <c r="M230" i="1"/>
  <c r="M229" i="1"/>
  <c r="M228" i="1"/>
  <c r="M226" i="1"/>
  <c r="L214" i="1"/>
  <c r="K214" i="1"/>
  <c r="L216" i="1"/>
  <c r="K216" i="1"/>
  <c r="L211" i="1"/>
  <c r="K211" i="1"/>
  <c r="M210" i="1"/>
  <c r="M209" i="1"/>
  <c r="M208" i="1"/>
  <c r="M207" i="1"/>
  <c r="M206" i="1"/>
  <c r="M205" i="1"/>
  <c r="L184" i="1"/>
  <c r="K184" i="1"/>
  <c r="M177" i="1"/>
  <c r="M178" i="1"/>
  <c r="M179" i="1"/>
  <c r="M180" i="1"/>
  <c r="M181" i="1"/>
  <c r="L182" i="1"/>
  <c r="K182" i="1"/>
  <c r="M176" i="1"/>
  <c r="L163" i="1"/>
  <c r="K163" i="1"/>
  <c r="M161" i="1"/>
  <c r="M160" i="1"/>
  <c r="M159" i="1"/>
  <c r="M158" i="1"/>
  <c r="M157" i="1"/>
  <c r="L141" i="1"/>
  <c r="K141" i="1"/>
  <c r="L134" i="1"/>
  <c r="K134" i="1"/>
  <c r="M136" i="1"/>
  <c r="M137" i="1"/>
  <c r="M138" i="1"/>
  <c r="M139" i="1"/>
  <c r="M140" i="1"/>
  <c r="M135" i="1"/>
  <c r="L122" i="1"/>
  <c r="K122" i="1"/>
  <c r="M121" i="1"/>
  <c r="M120" i="1"/>
  <c r="M119" i="1"/>
  <c r="M118" i="1"/>
  <c r="M117" i="1"/>
  <c r="M116" i="1"/>
  <c r="L86" i="1"/>
  <c r="K86" i="1"/>
  <c r="M85" i="1"/>
  <c r="L103" i="1"/>
  <c r="K103" i="1"/>
  <c r="M102" i="1"/>
  <c r="M101" i="1"/>
  <c r="M100" i="1"/>
  <c r="M99" i="1"/>
  <c r="M98" i="1"/>
  <c r="M97" i="1"/>
  <c r="L84" i="1"/>
  <c r="K84" i="1"/>
  <c r="M83" i="1"/>
  <c r="M82" i="1"/>
  <c r="M81" i="1"/>
  <c r="M80" i="1"/>
  <c r="M79" i="1"/>
  <c r="M78" i="1"/>
  <c r="K203" i="1" l="1"/>
  <c r="L203" i="1"/>
  <c r="K232" i="1"/>
  <c r="L155" i="1"/>
  <c r="L232" i="1"/>
  <c r="K131" i="1"/>
  <c r="K155" i="1"/>
  <c r="L131" i="1"/>
  <c r="L66" i="1" l="1"/>
  <c r="K66" i="1"/>
  <c r="M65" i="1"/>
  <c r="M64" i="1"/>
  <c r="M63" i="1"/>
  <c r="M62" i="1"/>
  <c r="M61" i="1"/>
  <c r="M60" i="1"/>
  <c r="K87" i="1" l="1"/>
  <c r="L87" i="1"/>
  <c r="L44" i="1"/>
  <c r="K44" i="1"/>
  <c r="M43" i="1"/>
  <c r="M42" i="1"/>
  <c r="M41" i="1"/>
  <c r="M40" i="1"/>
  <c r="M39" i="1"/>
  <c r="M38" i="1"/>
  <c r="K29" i="1" l="1"/>
  <c r="L28" i="1"/>
  <c r="L29" i="1" s="1"/>
  <c r="M21" i="1"/>
  <c r="L27" i="1"/>
  <c r="K27" i="1"/>
  <c r="M26" i="1"/>
  <c r="M25" i="1"/>
  <c r="M24" i="1"/>
  <c r="M23" i="1"/>
  <c r="M22" i="1"/>
  <c r="L49" i="1" l="1"/>
  <c r="K49" i="1"/>
  <c r="M28" i="1"/>
  <c r="L50" i="1" l="1"/>
  <c r="L88" i="1" s="1"/>
  <c r="L132" i="1" s="1"/>
  <c r="K50" i="1"/>
  <c r="L156" i="1" l="1"/>
  <c r="L204" i="1" s="1"/>
  <c r="K88" i="1"/>
  <c r="K132" i="1" s="1"/>
  <c r="L249" i="5"/>
  <c r="L233" i="1" l="1"/>
  <c r="L284" i="1" s="1"/>
  <c r="L328" i="1" s="1"/>
  <c r="L369" i="1" s="1"/>
  <c r="L404" i="1" s="1"/>
  <c r="K156" i="1"/>
  <c r="K204" i="1" s="1"/>
  <c r="K233" i="1" s="1"/>
  <c r="O234" i="5"/>
  <c r="N234" i="5"/>
  <c r="M234" i="5"/>
  <c r="O232" i="5"/>
  <c r="N232" i="5"/>
  <c r="M232" i="5"/>
  <c r="O231" i="5"/>
  <c r="N231" i="5"/>
  <c r="M231" i="5"/>
  <c r="O230" i="5"/>
  <c r="N230" i="5"/>
  <c r="M230" i="5"/>
  <c r="O229" i="5"/>
  <c r="N229" i="5"/>
  <c r="M229" i="5"/>
  <c r="O225" i="5"/>
  <c r="N225" i="5"/>
  <c r="M225" i="5"/>
  <c r="O224" i="5"/>
  <c r="N224" i="5"/>
  <c r="M224" i="5"/>
  <c r="O222" i="5"/>
  <c r="N222" i="5"/>
  <c r="M222" i="5"/>
  <c r="L217" i="5"/>
  <c r="P216" i="5"/>
  <c r="P215" i="5"/>
  <c r="O214" i="5"/>
  <c r="N214" i="5"/>
  <c r="M214" i="5"/>
  <c r="O212" i="5"/>
  <c r="N212" i="5"/>
  <c r="M212" i="5"/>
  <c r="P210" i="5"/>
  <c r="P209" i="5"/>
  <c r="P208" i="5"/>
  <c r="P207" i="5"/>
  <c r="P206" i="5"/>
  <c r="R205" i="5"/>
  <c r="P205" i="5"/>
  <c r="K284" i="1" l="1"/>
  <c r="K328" i="1" s="1"/>
  <c r="K369" i="1" s="1"/>
  <c r="K404" i="1" s="1"/>
  <c r="K453" i="1" s="1"/>
  <c r="K458" i="1" s="1"/>
  <c r="L453" i="1"/>
  <c r="L458" i="1" s="1"/>
  <c r="O228" i="5"/>
  <c r="N228" i="5" s="1"/>
  <c r="M228" i="5" s="1"/>
  <c r="O227" i="5" s="1"/>
  <c r="N227" i="5" s="1"/>
  <c r="M227" i="5" s="1"/>
  <c r="R204" i="5"/>
  <c r="P202" i="5"/>
  <c r="P200" i="5"/>
  <c r="P199" i="5"/>
  <c r="P198" i="5"/>
  <c r="P197" i="5"/>
  <c r="R196" i="5"/>
  <c r="P196" i="5"/>
  <c r="R195" i="5"/>
  <c r="P192" i="5"/>
  <c r="P191" i="5"/>
  <c r="B191" i="5"/>
  <c r="P190" i="5"/>
  <c r="P189" i="5"/>
  <c r="P188" i="5"/>
  <c r="P187" i="5"/>
  <c r="P186" i="5"/>
  <c r="R185" i="5"/>
  <c r="P185" i="5"/>
  <c r="R184" i="5"/>
  <c r="P182" i="5"/>
  <c r="P181" i="5"/>
  <c r="P180" i="5"/>
  <c r="P179" i="5"/>
  <c r="P178" i="5"/>
  <c r="P177" i="5"/>
  <c r="B177" i="5"/>
  <c r="R176" i="5"/>
  <c r="R175" i="5"/>
  <c r="P170" i="5"/>
  <c r="P169" i="5"/>
  <c r="P168" i="5"/>
  <c r="P167" i="5"/>
  <c r="R166" i="5"/>
  <c r="P166" i="5"/>
  <c r="R165" i="5"/>
  <c r="P164" i="5"/>
  <c r="P163" i="5"/>
  <c r="P160" i="5"/>
  <c r="P158" i="5"/>
  <c r="P157" i="5"/>
  <c r="P155" i="5"/>
  <c r="P154" i="5"/>
  <c r="P153" i="5"/>
  <c r="P152" i="5"/>
  <c r="R151" i="5"/>
  <c r="P151" i="5"/>
  <c r="R150" i="5"/>
  <c r="P148" i="5"/>
  <c r="R146" i="5"/>
  <c r="P146" i="5"/>
  <c r="R145" i="5"/>
  <c r="P141" i="5"/>
  <c r="P140" i="5"/>
  <c r="P139" i="5"/>
  <c r="P138" i="5"/>
  <c r="P137" i="5"/>
  <c r="R136" i="5"/>
  <c r="R135" i="5"/>
  <c r="P131" i="5"/>
  <c r="P130" i="5"/>
  <c r="P129" i="5"/>
  <c r="P128" i="5"/>
  <c r="P127" i="5"/>
  <c r="P126" i="5"/>
  <c r="R125" i="5"/>
  <c r="R124" i="5"/>
  <c r="P122" i="5"/>
  <c r="P121" i="5"/>
  <c r="P120" i="5"/>
  <c r="P119" i="5"/>
  <c r="P118" i="5"/>
  <c r="P117" i="5"/>
  <c r="R116" i="5"/>
  <c r="R115" i="5"/>
  <c r="R114" i="5"/>
  <c r="P113" i="5"/>
  <c r="P111" i="5"/>
  <c r="P110" i="5"/>
  <c r="P109" i="5"/>
  <c r="P108" i="5"/>
  <c r="P107" i="5"/>
  <c r="R106" i="5"/>
  <c r="R105" i="5"/>
  <c r="P101" i="5"/>
  <c r="P100" i="5"/>
  <c r="P97" i="5"/>
  <c r="R96" i="5"/>
  <c r="R95" i="5"/>
  <c r="P95" i="5"/>
  <c r="R94" i="5"/>
  <c r="P94" i="5"/>
  <c r="P92" i="5"/>
  <c r="P91" i="5"/>
  <c r="P90" i="5"/>
  <c r="P89" i="5"/>
  <c r="P88" i="5"/>
  <c r="P87" i="5"/>
  <c r="P86" i="5"/>
  <c r="R85" i="5"/>
  <c r="P85" i="5"/>
  <c r="R84" i="5"/>
  <c r="P84" i="5"/>
  <c r="R83" i="5"/>
  <c r="P83" i="5"/>
  <c r="P82" i="5"/>
  <c r="W80" i="5"/>
  <c r="V80" i="5"/>
  <c r="U80" i="5"/>
  <c r="W78" i="5"/>
  <c r="V78" i="5"/>
  <c r="U78" i="5"/>
  <c r="P74" i="5"/>
  <c r="P73" i="5"/>
  <c r="R72" i="5"/>
  <c r="P72" i="5"/>
  <c r="R71" i="5"/>
  <c r="P71" i="5"/>
  <c r="R70" i="5"/>
  <c r="P70" i="5"/>
  <c r="P69" i="5"/>
  <c r="P68" i="5"/>
  <c r="R67" i="5"/>
  <c r="P67" i="5"/>
  <c r="R66" i="5"/>
  <c r="P66" i="5"/>
  <c r="P65" i="5"/>
  <c r="P64" i="5"/>
  <c r="P63" i="5" l="1"/>
  <c r="R59" i="5"/>
  <c r="P59" i="5"/>
  <c r="P58" i="5"/>
  <c r="P57" i="5"/>
  <c r="P55" i="5"/>
  <c r="P54" i="5"/>
  <c r="P53" i="5"/>
  <c r="P52" i="5"/>
  <c r="P51" i="5"/>
  <c r="P50" i="5"/>
  <c r="P49" i="5"/>
  <c r="P46" i="5"/>
  <c r="R45" i="5"/>
  <c r="R44" i="5"/>
  <c r="R43" i="5"/>
  <c r="P42" i="5"/>
  <c r="P41" i="5"/>
  <c r="P40" i="5"/>
  <c r="P39" i="5"/>
  <c r="P38" i="5"/>
  <c r="P37" i="5"/>
  <c r="R36" i="5"/>
  <c r="P36" i="5"/>
  <c r="R35" i="5"/>
  <c r="P35" i="5"/>
  <c r="R34" i="5"/>
  <c r="P34" i="5"/>
  <c r="P33" i="5"/>
  <c r="P32" i="5"/>
  <c r="P31" i="5"/>
  <c r="P30" i="5"/>
  <c r="P28" i="5"/>
  <c r="R26" i="5"/>
  <c r="P26" i="5"/>
  <c r="R25" i="5"/>
  <c r="P25" i="5"/>
  <c r="R24" i="5"/>
  <c r="P24" i="5"/>
  <c r="P23" i="5"/>
  <c r="P22" i="5"/>
  <c r="P21" i="5"/>
  <c r="P20" i="5"/>
  <c r="P19" i="5"/>
  <c r="P17" i="5"/>
  <c r="P16" i="5"/>
  <c r="P15" i="5"/>
  <c r="AB14" i="5"/>
  <c r="P14" i="5"/>
  <c r="AB13" i="5"/>
  <c r="P13" i="5"/>
  <c r="AB12" i="5"/>
  <c r="W11" i="5"/>
  <c r="V11" i="5"/>
  <c r="U11" i="5"/>
  <c r="AB16" i="5" l="1"/>
  <c r="P10" i="5"/>
  <c r="P9" i="5"/>
  <c r="P8" i="5"/>
  <c r="P7" i="5"/>
  <c r="P6" i="5"/>
  <c r="O12" i="5" l="1"/>
  <c r="AA6" i="5" s="1"/>
  <c r="AA8" i="5" s="1"/>
  <c r="O79" i="5"/>
  <c r="R79" i="5" s="1"/>
  <c r="O81" i="5"/>
  <c r="N79" i="5"/>
  <c r="M79" i="5"/>
  <c r="M81" i="5"/>
  <c r="N81" i="5"/>
  <c r="N12" i="5"/>
  <c r="M12" i="5"/>
  <c r="N226" i="5" l="1"/>
  <c r="N233" i="5" s="1"/>
  <c r="N235" i="5" s="1"/>
  <c r="P79" i="5"/>
  <c r="P12" i="5"/>
  <c r="O217" i="5"/>
  <c r="P248" i="5" s="1"/>
  <c r="N217" i="5"/>
  <c r="N218" i="5" s="1"/>
  <c r="M226" i="5"/>
  <c r="M233" i="5" s="1"/>
  <c r="M235" i="5" s="1"/>
  <c r="O226" i="5"/>
  <c r="O233" i="5" s="1"/>
  <c r="O235" i="5" s="1"/>
  <c r="M217" i="5"/>
  <c r="P81" i="5"/>
  <c r="Y6" i="5"/>
  <c r="Z6" i="5" s="1"/>
  <c r="R81" i="5"/>
  <c r="N236" i="5" l="1"/>
  <c r="O218" i="5"/>
  <c r="R39" i="5" s="1"/>
  <c r="O236" i="5"/>
  <c r="P249" i="5"/>
  <c r="P250" i="5" s="1"/>
  <c r="P217" i="5"/>
  <c r="M218" i="5"/>
  <c r="M236" i="5"/>
  <c r="Z8" i="5"/>
  <c r="AB6" i="5"/>
  <c r="AB8" i="5" s="1"/>
  <c r="R10" i="5"/>
  <c r="R61" i="5" l="1"/>
  <c r="R63" i="5"/>
  <c r="R48" i="5"/>
  <c r="R31" i="5"/>
  <c r="R20" i="5"/>
  <c r="R17" i="5"/>
  <c r="R9" i="5"/>
  <c r="R12" i="5"/>
  <c r="R21" i="5"/>
  <c r="R15" i="5"/>
  <c r="R16" i="5"/>
  <c r="R29" i="5"/>
  <c r="R8" i="5"/>
  <c r="R50" i="5"/>
  <c r="S10" i="5"/>
  <c r="S25" i="5"/>
  <c r="S35" i="5"/>
  <c r="S16" i="5"/>
  <c r="S17" i="5"/>
  <c r="S31" i="5"/>
  <c r="S61" i="5"/>
  <c r="S39" i="5"/>
  <c r="S46" i="5"/>
  <c r="S52" i="5"/>
  <c r="S72" i="5"/>
  <c r="S86" i="5"/>
  <c r="S98" i="5"/>
  <c r="S145" i="5"/>
  <c r="S162" i="5"/>
  <c r="S191" i="5"/>
  <c r="S63" i="5"/>
  <c r="S84" i="5"/>
  <c r="S105" i="5"/>
  <c r="S116" i="5"/>
  <c r="S125" i="5"/>
  <c r="S136" i="5"/>
  <c r="S157" i="5"/>
  <c r="S175" i="5"/>
  <c r="S186" i="5"/>
  <c r="S206" i="5"/>
  <c r="S8" i="5"/>
  <c r="S32" i="5"/>
  <c r="S20" i="5"/>
  <c r="S27" i="5"/>
  <c r="S50" i="5"/>
  <c r="S95" i="5"/>
  <c r="S112" i="5"/>
  <c r="S177" i="5"/>
  <c r="S114" i="5"/>
  <c r="S146" i="5"/>
  <c r="S204" i="5"/>
  <c r="S6" i="5"/>
  <c r="S26" i="5"/>
  <c r="S36" i="5"/>
  <c r="S18" i="5"/>
  <c r="S41" i="5"/>
  <c r="S21" i="5"/>
  <c r="S43" i="5"/>
  <c r="S48" i="5"/>
  <c r="S67" i="5"/>
  <c r="S73" i="5"/>
  <c r="S92" i="5"/>
  <c r="S108" i="5"/>
  <c r="S147" i="5"/>
  <c r="S165" i="5"/>
  <c r="S192" i="5"/>
  <c r="S64" i="5"/>
  <c r="S88" i="5"/>
  <c r="S106" i="5"/>
  <c r="S117" i="5"/>
  <c r="S128" i="5"/>
  <c r="S137" i="5"/>
  <c r="S166" i="5"/>
  <c r="S176" i="5"/>
  <c r="S196" i="5"/>
  <c r="S215" i="5"/>
  <c r="S68" i="5"/>
  <c r="S66" i="5"/>
  <c r="S132" i="5"/>
  <c r="S181" i="5"/>
  <c r="S9" i="5"/>
  <c r="S24" i="5"/>
  <c r="S34" i="5"/>
  <c r="S15" i="5"/>
  <c r="S29" i="5"/>
  <c r="S59" i="5"/>
  <c r="S37" i="5"/>
  <c r="S45" i="5"/>
  <c r="S51" i="5"/>
  <c r="S70" i="5"/>
  <c r="S85" i="5"/>
  <c r="S96" i="5"/>
  <c r="S142" i="5"/>
  <c r="S152" i="5"/>
  <c r="S184" i="5"/>
  <c r="S201" i="5"/>
  <c r="S71" i="5"/>
  <c r="S103" i="5"/>
  <c r="S115" i="5"/>
  <c r="S124" i="5"/>
  <c r="S135" i="5"/>
  <c r="S150" i="5"/>
  <c r="S172" i="5"/>
  <c r="S185" i="5"/>
  <c r="S205" i="5"/>
  <c r="S22" i="5"/>
  <c r="S13" i="5"/>
  <c r="S57" i="5"/>
  <c r="S44" i="5"/>
  <c r="S83" i="5"/>
  <c r="S151" i="5"/>
  <c r="S195" i="5"/>
  <c r="S94" i="5"/>
  <c r="S122" i="5"/>
  <c r="S167" i="5"/>
  <c r="R217" i="5" l="1"/>
  <c r="T26" i="5"/>
  <c r="T10" i="5"/>
  <c r="T36" i="5"/>
  <c r="T17" i="5"/>
</calcChain>
</file>

<file path=xl/sharedStrings.xml><?xml version="1.0" encoding="utf-8"?>
<sst xmlns="http://schemas.openxmlformats.org/spreadsheetml/2006/main" count="1024" uniqueCount="268">
  <si>
    <t>Tanggal Lelang/pricing</t>
  </si>
  <si>
    <t>Tanggal Setelmen</t>
  </si>
  <si>
    <t>Seri</t>
  </si>
  <si>
    <t>Jatuh 
Tempo</t>
  </si>
  <si>
    <t>Kupon/ Imbalan</t>
  </si>
  <si>
    <t>Lowest Incoming Yield/Price</t>
  </si>
  <si>
    <t>WAY Incoming</t>
  </si>
  <si>
    <t>Highest Incoming Yield/Price</t>
  </si>
  <si>
    <t>Lowest Awarded Yield/Price</t>
  </si>
  <si>
    <t>Yield/Harga Rata-rata Tertimbang</t>
  </si>
  <si>
    <t>Highest Awarded Yield/Price</t>
  </si>
  <si>
    <t>Target Penerbitan</t>
  </si>
  <si>
    <t>Total Penawaran</t>
  </si>
  <si>
    <t>Total Penawaran Memenuhi Benchmark</t>
  </si>
  <si>
    <t>Total Penawaran Diterima</t>
  </si>
  <si>
    <t>Bid to cover ratio</t>
  </si>
  <si>
    <t>Owner’s estimate</t>
  </si>
  <si>
    <t>Total</t>
  </si>
  <si>
    <t xml:space="preserve"> </t>
  </si>
  <si>
    <t>Jenis</t>
  </si>
  <si>
    <t>FR</t>
  </si>
  <si>
    <t>VR</t>
  </si>
  <si>
    <t>ORI</t>
  </si>
  <si>
    <t>SPN</t>
  </si>
  <si>
    <t>ON Valas</t>
  </si>
  <si>
    <t>Samurai Bond</t>
  </si>
  <si>
    <t>Sukuk Valas</t>
  </si>
  <si>
    <t>SDHI</t>
  </si>
  <si>
    <t>Grand Total</t>
  </si>
  <si>
    <t>IFR</t>
  </si>
  <si>
    <t>Sukuk Ritel</t>
  </si>
  <si>
    <t>Kurs yang dipakai untuk penerbitan valas:</t>
  </si>
  <si>
    <t>FR0058</t>
  </si>
  <si>
    <t>SPN-S</t>
  </si>
  <si>
    <t>FR0060</t>
  </si>
  <si>
    <t>FR0061</t>
  </si>
  <si>
    <t>PBS</t>
  </si>
  <si>
    <t>SPN12130111</t>
  </si>
  <si>
    <t>SPN03120411</t>
  </si>
  <si>
    <t>RI0142</t>
  </si>
  <si>
    <t>USD1.750.000.000</t>
  </si>
  <si>
    <t>USD3.600.000.000</t>
  </si>
  <si>
    <t>SPN03120429</t>
  </si>
  <si>
    <t>FR0059</t>
  </si>
  <si>
    <t>Hasil Penerbitan Surat Berharga Negara - 2012 (juta rupiah)</t>
  </si>
  <si>
    <t>SPN03120508</t>
  </si>
  <si>
    <t>SPN12130208</t>
  </si>
  <si>
    <t>FR0062</t>
  </si>
  <si>
    <t>PBS001</t>
  </si>
  <si>
    <t>PBS002</t>
  </si>
  <si>
    <t>PBS003</t>
  </si>
  <si>
    <t>IFR0010</t>
  </si>
  <si>
    <t>SPN-S 15082012</t>
  </si>
  <si>
    <t>PBS004</t>
  </si>
  <si>
    <t>SPN03120522</t>
  </si>
  <si>
    <t>SPN12130208 (reopening 1)</t>
  </si>
  <si>
    <t>SPN03120607</t>
  </si>
  <si>
    <t>SPN12130307</t>
  </si>
  <si>
    <t>SPN03120621</t>
  </si>
  <si>
    <t>SPN-S 14092012</t>
  </si>
  <si>
    <t>SR-004</t>
  </si>
  <si>
    <t>SDHI 2017A</t>
  </si>
  <si>
    <t>SDHI 2019A</t>
  </si>
  <si>
    <t>SDHI 2022A</t>
  </si>
  <si>
    <t>SPN12130404</t>
  </si>
  <si>
    <t>SPNS11102012</t>
  </si>
  <si>
    <t>SPN03120718</t>
  </si>
  <si>
    <t>SPN12130404 (reopening 1)</t>
  </si>
  <si>
    <t>RI0422</t>
  </si>
  <si>
    <t>USD2.000.000.000</t>
  </si>
  <si>
    <t>USD500.000.000</t>
  </si>
  <si>
    <t>USD5.900.000.000</t>
  </si>
  <si>
    <t>Persentase realisasi penerbitan/target=</t>
  </si>
  <si>
    <t>Sisa penerbitan =</t>
  </si>
  <si>
    <t>SDHI 2016A</t>
  </si>
  <si>
    <t>SDHI 2020A</t>
  </si>
  <si>
    <t>target SBN 2012 (data per 30 April 2012) =</t>
  </si>
  <si>
    <t>sisa penerbitan (271,664,408-138,767,805)=</t>
  </si>
  <si>
    <t>SPN12130502</t>
  </si>
  <si>
    <t>SPNS09112012</t>
  </si>
  <si>
    <t>SPNS09112012 (greenshoe)</t>
  </si>
  <si>
    <t>SPN03120815</t>
  </si>
  <si>
    <t>SPN12130502(reopening 1)</t>
  </si>
  <si>
    <t>SPN12130606</t>
  </si>
  <si>
    <t>SDHI2018A</t>
  </si>
  <si>
    <t>SPNS13122012</t>
  </si>
  <si>
    <t>SPN03120920</t>
  </si>
  <si>
    <t>SPN12130606 (reopneing 1)</t>
  </si>
  <si>
    <t>SPN12130704</t>
  </si>
  <si>
    <t>SPN03121018</t>
  </si>
  <si>
    <t>SPN12130704 (reopening 1)</t>
  </si>
  <si>
    <t>SPN-S 11012013</t>
  </si>
  <si>
    <t>SPN03121112</t>
  </si>
  <si>
    <t>SPN12130812</t>
  </si>
  <si>
    <t>FR0063</t>
  </si>
  <si>
    <t>FR0064</t>
  </si>
  <si>
    <t>SPN-S 08022013</t>
  </si>
  <si>
    <t>SPN-S 25012013</t>
  </si>
  <si>
    <t>FR0065</t>
  </si>
  <si>
    <t>SPN03121212</t>
  </si>
  <si>
    <t>SPN12130912</t>
  </si>
  <si>
    <t>SPN-S 19032013</t>
  </si>
  <si>
    <t>SPN-S 05032013</t>
  </si>
  <si>
    <t>SDHI 2015A</t>
  </si>
  <si>
    <t>SDHI 2020B</t>
  </si>
  <si>
    <t>SPN03130107</t>
  </si>
  <si>
    <t>SPN12131007</t>
  </si>
  <si>
    <t>ORI009</t>
  </si>
  <si>
    <t>SPN-S 03042013</t>
  </si>
  <si>
    <t>SPN-S 17042013</t>
  </si>
  <si>
    <t>FR0066</t>
  </si>
  <si>
    <t>SPN-S 30042013</t>
  </si>
  <si>
    <t>SPN03130213</t>
  </si>
  <si>
    <t>SPN12131113</t>
  </si>
  <si>
    <t>RIJPY1122</t>
  </si>
  <si>
    <t>JPY60.000.000.000</t>
  </si>
  <si>
    <t>SNI22</t>
  </si>
  <si>
    <t>USD1.000.000.000</t>
  </si>
  <si>
    <t>SPN03130304</t>
  </si>
  <si>
    <t>SPN12131204</t>
  </si>
  <si>
    <t>WAY Awarded</t>
  </si>
  <si>
    <t>T o t a l</t>
  </si>
  <si>
    <t>Tanggal Lelang/
Pricing Date</t>
  </si>
  <si>
    <t>Metode Penerbitan/ Issuance Method</t>
  </si>
  <si>
    <t>Seri/Series</t>
  </si>
  <si>
    <t>Jatuh 
Tempo/Maturity Date</t>
  </si>
  <si>
    <t>Kupon/Imbalan - Coupon</t>
  </si>
  <si>
    <t>Total Penawaran/ Incoming Bid</t>
  </si>
  <si>
    <t>Diskonto</t>
  </si>
  <si>
    <t>Nominal Dalam Juta Rupiah</t>
  </si>
  <si>
    <t>-</t>
  </si>
  <si>
    <t>FR0075</t>
  </si>
  <si>
    <t>SPN03180215</t>
  </si>
  <si>
    <t>SPN12181115</t>
  </si>
  <si>
    <t>Tanggal Setelmen/
Settlement Date</t>
  </si>
  <si>
    <t>Total Penawaran Diterima/ 
Awarded Bid</t>
  </si>
  <si>
    <t>Lelang/Auction</t>
  </si>
  <si>
    <t>FR0089</t>
  </si>
  <si>
    <t>Private Placement</t>
  </si>
  <si>
    <t>FR0095</t>
  </si>
  <si>
    <t>FR0096</t>
  </si>
  <si>
    <t>FR0097</t>
  </si>
  <si>
    <t>FR0098</t>
  </si>
  <si>
    <t>G r a n d   T o t a l   b u l a n   J a n u a r i   2 0 2 3</t>
  </si>
  <si>
    <t>SPN03230405</t>
  </si>
  <si>
    <t>SPN12240104</t>
  </si>
  <si>
    <t>PBS036</t>
  </si>
  <si>
    <t>PBS034</t>
  </si>
  <si>
    <t>PBS033</t>
  </si>
  <si>
    <t>SPNS11072023</t>
  </si>
  <si>
    <t>PBS037</t>
  </si>
  <si>
    <t>SW005</t>
  </si>
  <si>
    <t>SPN03230419</t>
  </si>
  <si>
    <t>PBSG001</t>
  </si>
  <si>
    <t>G r a n d   T o t a l   b u l a n   F e b r u a r i   2 0 2 3</t>
  </si>
  <si>
    <t>SPN03230503</t>
  </si>
  <si>
    <t>SPN12240201</t>
  </si>
  <si>
    <t>FRSDG001</t>
  </si>
  <si>
    <t>Bookbuilding</t>
  </si>
  <si>
    <t>USD750.000.000</t>
  </si>
  <si>
    <t>RI0128A</t>
  </si>
  <si>
    <t>RI0133</t>
  </si>
  <si>
    <t>RI0153</t>
  </si>
  <si>
    <t>USD1.250.000.000</t>
  </si>
  <si>
    <t>USDFR0003</t>
  </si>
  <si>
    <t>FR0099</t>
  </si>
  <si>
    <t>USD13.803.000</t>
  </si>
  <si>
    <t>SPNS08082023</t>
  </si>
  <si>
    <t>SPN03230517</t>
  </si>
  <si>
    <t>SBR012-T2</t>
  </si>
  <si>
    <t>SBR012-T4</t>
  </si>
  <si>
    <t>G r a n d   T o t a l   b u l a n   M a r e t  2 0 2 3</t>
  </si>
  <si>
    <t>SPN03230531</t>
  </si>
  <si>
    <t>SPN12240229</t>
  </si>
  <si>
    <t>SPNS05092023</t>
  </si>
  <si>
    <t>PBS035</t>
  </si>
  <si>
    <t>SPN03230614</t>
  </si>
  <si>
    <t>SPN03230628</t>
  </si>
  <si>
    <t>SPN12240328</t>
  </si>
  <si>
    <t>Ringkasan Hasil Penerbitan Surat Berharga Negara Tahun 2023 (juta Rupiah) / Summary Result of Government Securities Issuance in 2023 (million Rupiah)</t>
  </si>
  <si>
    <t>SPNS03102023</t>
  </si>
  <si>
    <t>G r a n d   T o t a l   b u l a n   A p r i l  2 0 2 3</t>
  </si>
  <si>
    <t>SPN03230712</t>
  </si>
  <si>
    <t>SPN12240411</t>
  </si>
  <si>
    <t>SPNS07112023</t>
  </si>
  <si>
    <t>G r a n d   T o t a l   b u l a n   M e i  2 0 2 3</t>
  </si>
  <si>
    <t>SPN12230818</t>
  </si>
  <si>
    <t>SR018T3</t>
  </si>
  <si>
    <t>SR018T5</t>
  </si>
  <si>
    <t>PBS029</t>
  </si>
  <si>
    <t>16.949.759</t>
  </si>
  <si>
    <t>16.949.760</t>
  </si>
  <si>
    <t>SPNS05122023</t>
  </si>
  <si>
    <t>ST010T2</t>
  </si>
  <si>
    <t>ST010T4</t>
  </si>
  <si>
    <t>SPNS19122023</t>
  </si>
  <si>
    <t>G r a n d   T o t a l   b u l a n   J u n I   2 0 2 3</t>
  </si>
  <si>
    <t>SPN03230929</t>
  </si>
  <si>
    <t>SPN12240628</t>
  </si>
  <si>
    <t>SPN12231012</t>
  </si>
  <si>
    <t>SPN03230829</t>
  </si>
  <si>
    <t>SPN12230914</t>
  </si>
  <si>
    <t>SPNS17012024</t>
  </si>
  <si>
    <t>SPNS30012024</t>
  </si>
  <si>
    <t>G r a n d   T o t a l   b u l a n   J u l i   2 0 2 3</t>
  </si>
  <si>
    <t>SPN03231025</t>
  </si>
  <si>
    <t>SPN12240725</t>
  </si>
  <si>
    <t>G r a n d   T o t a l   s . d .  T a n g g a l  2 7  b u l a n  J uli  2 0 2 3</t>
  </si>
  <si>
    <t>SPN12231109</t>
  </si>
  <si>
    <t>SPN12240529</t>
  </si>
  <si>
    <t>SPNS14022024</t>
  </si>
  <si>
    <t>SPN03231122</t>
  </si>
  <si>
    <t>SPN12240822</t>
  </si>
  <si>
    <t>FR0100</t>
  </si>
  <si>
    <t>ORI023-T3</t>
  </si>
  <si>
    <t>G r a n d   T o t a l   b u l a n   A g u s t u s  2 0 2 3</t>
  </si>
  <si>
    <t>G r a n d   T o t a l   s . d .  T a n g g a l  3 1  b u l a n  A g u s t u s  2 0 2 3</t>
  </si>
  <si>
    <t>G r a n d   T o t a l   b u l a n   S e p t e m b e r  2 0 2 3</t>
  </si>
  <si>
    <t>SPN12231207</t>
  </si>
  <si>
    <t>SPNS12032024</t>
  </si>
  <si>
    <t>SPN03231220</t>
  </si>
  <si>
    <t>SPN12240919</t>
  </si>
  <si>
    <t>G r a n d   T o t a l   b u l a n   O k t o b e r  2 0 2 3</t>
  </si>
  <si>
    <t>SPNS27032024</t>
  </si>
  <si>
    <t>bookbuilding</t>
  </si>
  <si>
    <t>SR019-T3</t>
  </si>
  <si>
    <t>SR019-T5</t>
  </si>
  <si>
    <t>SWR004</t>
  </si>
  <si>
    <t>SPNS09042024</t>
  </si>
  <si>
    <t>SPN03240117</t>
  </si>
  <si>
    <t>SPN12241017</t>
  </si>
  <si>
    <t>G r a n d   T o t a l   b u l a n   N o v e m b e r  2 0 2 3</t>
  </si>
  <si>
    <t>FR0101</t>
  </si>
  <si>
    <t>ORI023-T6</t>
  </si>
  <si>
    <t>ORI024T3</t>
  </si>
  <si>
    <t>ORI024T6</t>
  </si>
  <si>
    <t>G r a n d   T o t a l   s . d .  T a n g g a l  2 6  b u l a n  O k t o b e r  2 0 2 3</t>
  </si>
  <si>
    <t>SPNS07052024</t>
  </si>
  <si>
    <t>7.00929%</t>
  </si>
  <si>
    <t>SPN03240214</t>
  </si>
  <si>
    <t>SPN12241114</t>
  </si>
  <si>
    <t>SNI1128</t>
  </si>
  <si>
    <t>SNI1133</t>
  </si>
  <si>
    <t>G r a n d   T o t a l   b u l a n   D e s e m b e r  2 0 2 3</t>
  </si>
  <si>
    <t>SW006</t>
  </si>
  <si>
    <t>ST011T2</t>
  </si>
  <si>
    <t>ST011T4</t>
  </si>
  <si>
    <t>G r a n d   T o t a l   s . d .  T a n g g a l  3 0  b u l a n  N o v e m b e r  2 0 2 3</t>
  </si>
  <si>
    <t>G r a n d   T o t a l   s . d .  T a n g g a l  2 7  b u l a n   J a n u a r i   2 0 2 3</t>
  </si>
  <si>
    <t>G r a n d   T o t a l   s . d .  T a n g g a l  2 8  b u l a n   F e b r u a r i   2 0 2 3</t>
  </si>
  <si>
    <t>USD33.993.000</t>
  </si>
  <si>
    <t>G r a n d   T o t a l   s . d .  T a n g g a l  3 0  b u l a n   M a r e t   2 0 2 3</t>
  </si>
  <si>
    <t>G r a n d   T o t a l   s . d .  1 8  b u l a n   A p r I l   2 0 2 3</t>
  </si>
  <si>
    <t>USD3.187.000</t>
  </si>
  <si>
    <t>RIJPY0526B</t>
  </si>
  <si>
    <t>JPY46.900.000.000</t>
  </si>
  <si>
    <t>RIJPY0528B</t>
  </si>
  <si>
    <t>JPY37.200.000.000</t>
  </si>
  <si>
    <t>RIJPY0530</t>
  </si>
  <si>
    <t>JPY14.700.000.000</t>
  </si>
  <si>
    <t>RIJPY0533</t>
  </si>
  <si>
    <t>JPY6.000.000.000</t>
  </si>
  <si>
    <t>G r a n d   T o t a l   s . d .  T a n g g a l  3 1  b u l a n   Mei  2 0 2 3</t>
  </si>
  <si>
    <t>G r a n d   T o t a l   s . d .  T a n g g a l   2 2  b u l a n  J u n i  2 0 2 3</t>
  </si>
  <si>
    <t>USD9.788.000</t>
  </si>
  <si>
    <t>USD3.017.000</t>
  </si>
  <si>
    <t>G r a n d   T o t a l   s . d .  T a n g g a l  2 9  b u l a n  S e p t e m b e r  2 0 2 3</t>
  </si>
  <si>
    <t>G r a n d   T o t a l   s . d .  T a n g g a l  1 3  b u l a n  D e s e m b e r  2 0 2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</si>
</sst>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  <numFmt numFmtId="167" formatCode="0.00000%"/>
    <numFmt numFmtId="168" formatCode="_(* #,##0_);_(* \(#,##0\);_(* &quot;-&quot;??_);_(@_)"/>
    <numFmt numFmtId="169" formatCode="[$-409]d\-mmm;@"/>
    <numFmt numFmtId="170" formatCode="[$-409]d\-mmm\-yy;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6"/>
      <name val="Arial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39">
    <xf numFmtId="0" fontId="0" fillId="0" borderId="0" xfId="0"/>
    <xf numFmtId="0" fontId="19" fillId="0" borderId="0" xfId="0" applyFont="1"/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6" fontId="19" fillId="0" borderId="13" xfId="0" applyNumberFormat="1" applyFont="1" applyBorder="1" applyAlignment="1">
      <alignment horizontal="right"/>
    </xf>
    <xf numFmtId="16" fontId="19" fillId="0" borderId="0" xfId="0" applyNumberFormat="1" applyFont="1" applyAlignment="1">
      <alignment horizontal="right"/>
    </xf>
    <xf numFmtId="0" fontId="19" fillId="0" borderId="14" xfId="0" applyFont="1" applyBorder="1"/>
    <xf numFmtId="15" fontId="19" fillId="0" borderId="15" xfId="0" applyNumberFormat="1" applyFont="1" applyBorder="1"/>
    <xf numFmtId="10" fontId="19" fillId="0" borderId="16" xfId="41" applyNumberFormat="1" applyFont="1" applyBorder="1" applyAlignment="1"/>
    <xf numFmtId="10" fontId="19" fillId="0" borderId="17" xfId="29" applyNumberFormat="1" applyFont="1" applyBorder="1" applyAlignment="1"/>
    <xf numFmtId="10" fontId="19" fillId="0" borderId="15" xfId="29" applyNumberFormat="1" applyFont="1" applyBorder="1" applyAlignment="1"/>
    <xf numFmtId="164" fontId="19" fillId="0" borderId="15" xfId="29" applyFont="1" applyBorder="1" applyAlignment="1"/>
    <xf numFmtId="164" fontId="19" fillId="0" borderId="16" xfId="29" applyFont="1" applyBorder="1" applyAlignment="1"/>
    <xf numFmtId="164" fontId="19" fillId="0" borderId="18" xfId="29" applyFont="1" applyBorder="1" applyAlignment="1"/>
    <xf numFmtId="0" fontId="19" fillId="0" borderId="13" xfId="0" applyFont="1" applyBorder="1"/>
    <xf numFmtId="0" fontId="20" fillId="0" borderId="14" xfId="0" applyFont="1" applyBorder="1"/>
    <xf numFmtId="15" fontId="20" fillId="0" borderId="15" xfId="0" applyNumberFormat="1" applyFont="1" applyBorder="1"/>
    <xf numFmtId="10" fontId="20" fillId="0" borderId="16" xfId="41" applyNumberFormat="1" applyFont="1" applyBorder="1" applyAlignment="1"/>
    <xf numFmtId="0" fontId="20" fillId="0" borderId="15" xfId="0" applyFont="1" applyBorder="1"/>
    <xf numFmtId="164" fontId="20" fillId="0" borderId="15" xfId="29" applyFont="1" applyBorder="1" applyAlignment="1"/>
    <xf numFmtId="164" fontId="20" fillId="0" borderId="16" xfId="29" applyFont="1" applyBorder="1" applyAlignment="1"/>
    <xf numFmtId="164" fontId="20" fillId="0" borderId="14" xfId="29" applyFont="1" applyBorder="1" applyAlignment="1"/>
    <xf numFmtId="164" fontId="20" fillId="0" borderId="18" xfId="29" applyFont="1" applyBorder="1" applyAlignment="1"/>
    <xf numFmtId="9" fontId="20" fillId="0" borderId="16" xfId="41" applyFont="1" applyBorder="1" applyAlignment="1"/>
    <xf numFmtId="167" fontId="20" fillId="0" borderId="16" xfId="41" applyNumberFormat="1" applyFont="1" applyBorder="1" applyAlignment="1"/>
    <xf numFmtId="167" fontId="20" fillId="0" borderId="15" xfId="0" applyNumberFormat="1" applyFont="1" applyBorder="1"/>
    <xf numFmtId="165" fontId="20" fillId="0" borderId="0" xfId="28" applyFont="1"/>
    <xf numFmtId="16" fontId="19" fillId="0" borderId="19" xfId="0" applyNumberFormat="1" applyFont="1" applyBorder="1" applyAlignment="1">
      <alignment horizontal="right"/>
    </xf>
    <xf numFmtId="16" fontId="19" fillId="0" borderId="20" xfId="0" applyNumberFormat="1" applyFont="1" applyBorder="1" applyAlignment="1">
      <alignment horizontal="right"/>
    </xf>
    <xf numFmtId="0" fontId="19" fillId="0" borderId="21" xfId="0" applyFont="1" applyBorder="1"/>
    <xf numFmtId="15" fontId="19" fillId="0" borderId="10" xfId="0" applyNumberFormat="1" applyFont="1" applyBorder="1"/>
    <xf numFmtId="10" fontId="19" fillId="0" borderId="11" xfId="41" applyNumberFormat="1" applyFont="1" applyBorder="1"/>
    <xf numFmtId="10" fontId="19" fillId="0" borderId="10" xfId="29" applyNumberFormat="1" applyFont="1" applyBorder="1"/>
    <xf numFmtId="164" fontId="19" fillId="0" borderId="10" xfId="29" applyFont="1" applyBorder="1"/>
    <xf numFmtId="166" fontId="19" fillId="0" borderId="12" xfId="29" applyNumberFormat="1" applyFont="1" applyFill="1" applyBorder="1" applyAlignment="1">
      <alignment horizontal="center"/>
    </xf>
    <xf numFmtId="164" fontId="19" fillId="0" borderId="11" xfId="29" applyFont="1" applyBorder="1"/>
    <xf numFmtId="164" fontId="20" fillId="0" borderId="0" xfId="0" applyNumberFormat="1" applyFont="1"/>
    <xf numFmtId="0" fontId="20" fillId="0" borderId="22" xfId="0" applyFont="1" applyBorder="1" applyAlignment="1">
      <alignment horizontal="center" vertical="center" wrapText="1"/>
    </xf>
    <xf numFmtId="164" fontId="20" fillId="24" borderId="22" xfId="0" applyNumberFormat="1" applyFont="1" applyFill="1" applyBorder="1"/>
    <xf numFmtId="9" fontId="20" fillId="0" borderId="0" xfId="41" applyFont="1"/>
    <xf numFmtId="0" fontId="19" fillId="25" borderId="22" xfId="0" applyFont="1" applyFill="1" applyBorder="1"/>
    <xf numFmtId="164" fontId="19" fillId="25" borderId="22" xfId="0" applyNumberFormat="1" applyFont="1" applyFill="1" applyBorder="1"/>
    <xf numFmtId="166" fontId="20" fillId="0" borderId="18" xfId="29" applyNumberFormat="1" applyFont="1" applyBorder="1" applyAlignment="1"/>
    <xf numFmtId="164" fontId="20" fillId="24" borderId="22" xfId="0" applyNumberFormat="1" applyFont="1" applyFill="1" applyBorder="1" applyAlignment="1">
      <alignment horizontal="left"/>
    </xf>
    <xf numFmtId="164" fontId="20" fillId="0" borderId="22" xfId="0" applyNumberFormat="1" applyFont="1" applyBorder="1" applyAlignment="1">
      <alignment horizontal="left"/>
    </xf>
    <xf numFmtId="164" fontId="20" fillId="0" borderId="22" xfId="0" applyNumberFormat="1" applyFont="1" applyBorder="1"/>
    <xf numFmtId="165" fontId="20" fillId="0" borderId="16" xfId="28" applyFont="1" applyBorder="1" applyAlignment="1"/>
    <xf numFmtId="164" fontId="19" fillId="0" borderId="22" xfId="0" applyNumberFormat="1" applyFont="1" applyBorder="1" applyAlignment="1">
      <alignment horizontal="left"/>
    </xf>
    <xf numFmtId="164" fontId="19" fillId="0" borderId="22" xfId="0" applyNumberFormat="1" applyFont="1" applyBorder="1"/>
    <xf numFmtId="0" fontId="20" fillId="0" borderId="0" xfId="0" applyFont="1" applyAlignment="1">
      <alignment horizontal="center" vertical="center" wrapText="1"/>
    </xf>
    <xf numFmtId="164" fontId="19" fillId="0" borderId="0" xfId="29" applyFont="1" applyBorder="1" applyAlignment="1"/>
    <xf numFmtId="9" fontId="20" fillId="0" borderId="0" xfId="41" applyFont="1" applyBorder="1" applyAlignment="1"/>
    <xf numFmtId="10" fontId="20" fillId="0" borderId="0" xfId="41" applyNumberFormat="1" applyFont="1" applyBorder="1" applyAlignment="1"/>
    <xf numFmtId="165" fontId="20" fillId="0" borderId="0" xfId="0" applyNumberFormat="1" applyFont="1"/>
    <xf numFmtId="10" fontId="20" fillId="0" borderId="0" xfId="0" applyNumberFormat="1" applyFont="1"/>
    <xf numFmtId="0" fontId="19" fillId="0" borderId="0" xfId="0" applyFont="1" applyAlignment="1">
      <alignment vertical="top"/>
    </xf>
    <xf numFmtId="169" fontId="20" fillId="0" borderId="23" xfId="0" applyNumberFormat="1" applyFont="1" applyBorder="1"/>
    <xf numFmtId="169" fontId="20" fillId="0" borderId="15" xfId="0" applyNumberFormat="1" applyFont="1" applyBorder="1"/>
    <xf numFmtId="165" fontId="20" fillId="0" borderId="0" xfId="41" applyNumberFormat="1" applyFont="1"/>
    <xf numFmtId="0" fontId="20" fillId="0" borderId="24" xfId="0" applyFont="1" applyBorder="1" applyAlignment="1">
      <alignment horizontal="center" vertical="center" wrapText="1"/>
    </xf>
    <xf numFmtId="167" fontId="20" fillId="0" borderId="16" xfId="41" applyNumberFormat="1" applyFont="1" applyFill="1" applyBorder="1" applyAlignment="1"/>
    <xf numFmtId="164" fontId="20" fillId="0" borderId="15" xfId="29" applyFont="1" applyFill="1" applyBorder="1" applyAlignment="1"/>
    <xf numFmtId="166" fontId="20" fillId="0" borderId="18" xfId="29" applyNumberFormat="1" applyFont="1" applyFill="1" applyBorder="1" applyAlignment="1"/>
    <xf numFmtId="10" fontId="20" fillId="0" borderId="25" xfId="41" applyNumberFormat="1" applyFont="1" applyFill="1" applyBorder="1" applyAlignment="1"/>
    <xf numFmtId="169" fontId="20" fillId="0" borderId="26" xfId="0" applyNumberFormat="1" applyFont="1" applyBorder="1"/>
    <xf numFmtId="165" fontId="20" fillId="0" borderId="16" xfId="28" applyFont="1" applyFill="1" applyBorder="1" applyAlignment="1"/>
    <xf numFmtId="169" fontId="20" fillId="0" borderId="27" xfId="0" applyNumberFormat="1" applyFont="1" applyBorder="1"/>
    <xf numFmtId="0" fontId="20" fillId="0" borderId="28" xfId="0" applyFont="1" applyBorder="1"/>
    <xf numFmtId="15" fontId="20" fillId="0" borderId="26" xfId="0" applyNumberFormat="1" applyFont="1" applyBorder="1"/>
    <xf numFmtId="167" fontId="20" fillId="0" borderId="26" xfId="41" applyNumberFormat="1" applyFont="1" applyFill="1" applyBorder="1" applyAlignment="1"/>
    <xf numFmtId="167" fontId="20" fillId="0" borderId="29" xfId="41" applyNumberFormat="1" applyFont="1" applyFill="1" applyBorder="1" applyAlignment="1"/>
    <xf numFmtId="167" fontId="20" fillId="0" borderId="26" xfId="0" applyNumberFormat="1" applyFont="1" applyBorder="1"/>
    <xf numFmtId="164" fontId="20" fillId="0" borderId="26" xfId="29" applyFont="1" applyFill="1" applyBorder="1" applyAlignment="1"/>
    <xf numFmtId="164" fontId="20" fillId="0" borderId="26" xfId="29" applyFont="1" applyFill="1" applyBorder="1" applyAlignment="1">
      <alignment horizontal="right"/>
    </xf>
    <xf numFmtId="166" fontId="20" fillId="0" borderId="30" xfId="29" applyNumberFormat="1" applyFont="1" applyFill="1" applyBorder="1" applyAlignment="1"/>
    <xf numFmtId="10" fontId="20" fillId="0" borderId="31" xfId="41" applyNumberFormat="1" applyFont="1" applyFill="1" applyBorder="1" applyAlignment="1"/>
    <xf numFmtId="168" fontId="20" fillId="0" borderId="0" xfId="28" applyNumberFormat="1" applyFont="1"/>
    <xf numFmtId="165" fontId="19" fillId="0" borderId="0" xfId="28" applyFont="1" applyBorder="1"/>
    <xf numFmtId="169" fontId="20" fillId="0" borderId="0" xfId="0" applyNumberFormat="1" applyFont="1"/>
    <xf numFmtId="169" fontId="20" fillId="26" borderId="23" xfId="0" applyNumberFormat="1" applyFont="1" applyFill="1" applyBorder="1"/>
    <xf numFmtId="169" fontId="20" fillId="26" borderId="15" xfId="0" applyNumberFormat="1" applyFont="1" applyFill="1" applyBorder="1"/>
    <xf numFmtId="0" fontId="20" fillId="26" borderId="14" xfId="0" applyFont="1" applyFill="1" applyBorder="1"/>
    <xf numFmtId="15" fontId="20" fillId="26" borderId="15" xfId="0" applyNumberFormat="1" applyFont="1" applyFill="1" applyBorder="1"/>
    <xf numFmtId="165" fontId="20" fillId="26" borderId="16" xfId="28" applyFont="1" applyFill="1" applyBorder="1" applyAlignment="1"/>
    <xf numFmtId="167" fontId="20" fillId="26" borderId="16" xfId="41" applyNumberFormat="1" applyFont="1" applyFill="1" applyBorder="1" applyAlignment="1"/>
    <xf numFmtId="167" fontId="20" fillId="26" borderId="15" xfId="0" applyNumberFormat="1" applyFont="1" applyFill="1" applyBorder="1"/>
    <xf numFmtId="164" fontId="20" fillId="26" borderId="15" xfId="29" applyFont="1" applyFill="1" applyBorder="1" applyAlignment="1"/>
    <xf numFmtId="166" fontId="20" fillId="26" borderId="18" xfId="29" applyNumberFormat="1" applyFont="1" applyFill="1" applyBorder="1" applyAlignment="1"/>
    <xf numFmtId="10" fontId="20" fillId="26" borderId="0" xfId="41" applyNumberFormat="1" applyFont="1" applyFill="1" applyBorder="1" applyAlignment="1"/>
    <xf numFmtId="169" fontId="20" fillId="26" borderId="0" xfId="0" applyNumberFormat="1" applyFont="1" applyFill="1"/>
    <xf numFmtId="0" fontId="19" fillId="26" borderId="13" xfId="0" applyFont="1" applyFill="1" applyBorder="1"/>
    <xf numFmtId="0" fontId="19" fillId="26" borderId="0" xfId="0" applyFont="1" applyFill="1"/>
    <xf numFmtId="10" fontId="20" fillId="0" borderId="0" xfId="41" applyNumberFormat="1" applyFont="1"/>
    <xf numFmtId="10" fontId="20" fillId="0" borderId="16" xfId="28" applyNumberFormat="1" applyFont="1" applyBorder="1" applyAlignment="1"/>
    <xf numFmtId="167" fontId="20" fillId="0" borderId="16" xfId="28" applyNumberFormat="1" applyFont="1" applyBorder="1" applyAlignment="1"/>
    <xf numFmtId="10" fontId="20" fillId="27" borderId="0" xfId="41" applyNumberFormat="1" applyFont="1" applyFill="1" applyBorder="1" applyAlignment="1"/>
    <xf numFmtId="165" fontId="20" fillId="27" borderId="0" xfId="0" applyNumberFormat="1" applyFont="1" applyFill="1"/>
    <xf numFmtId="0" fontId="20" fillId="27" borderId="0" xfId="0" applyFont="1" applyFill="1"/>
    <xf numFmtId="10" fontId="20" fillId="0" borderId="0" xfId="41" applyNumberFormat="1" applyFont="1" applyFill="1" applyBorder="1" applyAlignment="1"/>
    <xf numFmtId="166" fontId="21" fillId="0" borderId="30" xfId="29" applyNumberFormat="1" applyFont="1" applyFill="1" applyBorder="1" applyAlignment="1"/>
    <xf numFmtId="164" fontId="20" fillId="0" borderId="26" xfId="29" applyFont="1" applyBorder="1" applyAlignment="1"/>
    <xf numFmtId="167" fontId="20" fillId="0" borderId="14" xfId="0" applyNumberFormat="1" applyFont="1" applyBorder="1"/>
    <xf numFmtId="167" fontId="20" fillId="0" borderId="28" xfId="0" applyNumberFormat="1" applyFont="1" applyBorder="1"/>
    <xf numFmtId="0" fontId="20" fillId="0" borderId="22" xfId="0" applyFont="1" applyBorder="1"/>
    <xf numFmtId="164" fontId="19" fillId="0" borderId="22" xfId="29" applyFont="1" applyBorder="1"/>
    <xf numFmtId="10" fontId="20" fillId="0" borderId="22" xfId="41" applyNumberFormat="1" applyFont="1" applyBorder="1"/>
    <xf numFmtId="10" fontId="20" fillId="0" borderId="22" xfId="0" applyNumberFormat="1" applyFont="1" applyBorder="1"/>
    <xf numFmtId="10" fontId="20" fillId="25" borderId="0" xfId="41" applyNumberFormat="1" applyFont="1" applyFill="1" applyBorder="1" applyAlignment="1"/>
    <xf numFmtId="165" fontId="20" fillId="25" borderId="0" xfId="0" applyNumberFormat="1" applyFont="1" applyFill="1"/>
    <xf numFmtId="0" fontId="20" fillId="25" borderId="0" xfId="0" applyFont="1" applyFill="1"/>
    <xf numFmtId="169" fontId="20" fillId="26" borderId="27" xfId="0" applyNumberFormat="1" applyFont="1" applyFill="1" applyBorder="1"/>
    <xf numFmtId="0" fontId="20" fillId="26" borderId="28" xfId="0" applyFont="1" applyFill="1" applyBorder="1"/>
    <xf numFmtId="15" fontId="20" fillId="26" borderId="26" xfId="0" applyNumberFormat="1" applyFont="1" applyFill="1" applyBorder="1"/>
    <xf numFmtId="165" fontId="20" fillId="26" borderId="29" xfId="28" applyFont="1" applyFill="1" applyBorder="1" applyAlignment="1"/>
    <xf numFmtId="167" fontId="20" fillId="26" borderId="29" xfId="41" applyNumberFormat="1" applyFont="1" applyFill="1" applyBorder="1" applyAlignment="1"/>
    <xf numFmtId="167" fontId="20" fillId="26" borderId="26" xfId="0" applyNumberFormat="1" applyFont="1" applyFill="1" applyBorder="1"/>
    <xf numFmtId="164" fontId="20" fillId="26" borderId="26" xfId="29" applyFont="1" applyFill="1" applyBorder="1" applyAlignment="1"/>
    <xf numFmtId="166" fontId="20" fillId="26" borderId="30" xfId="29" applyNumberFormat="1" applyFont="1" applyFill="1" applyBorder="1" applyAlignment="1"/>
    <xf numFmtId="10" fontId="20" fillId="26" borderId="33" xfId="41" applyNumberFormat="1" applyFont="1" applyFill="1" applyBorder="1" applyAlignment="1"/>
    <xf numFmtId="0" fontId="19" fillId="26" borderId="34" xfId="0" applyFont="1" applyFill="1" applyBorder="1"/>
    <xf numFmtId="169" fontId="20" fillId="26" borderId="35" xfId="0" applyNumberFormat="1" applyFont="1" applyFill="1" applyBorder="1"/>
    <xf numFmtId="0" fontId="20" fillId="26" borderId="36" xfId="0" applyFont="1" applyFill="1" applyBorder="1"/>
    <xf numFmtId="15" fontId="20" fillId="26" borderId="32" xfId="0" applyNumberFormat="1" applyFont="1" applyFill="1" applyBorder="1"/>
    <xf numFmtId="165" fontId="20" fillId="26" borderId="37" xfId="28" applyFont="1" applyFill="1" applyBorder="1" applyAlignment="1"/>
    <xf numFmtId="167" fontId="20" fillId="26" borderId="37" xfId="41" applyNumberFormat="1" applyFont="1" applyFill="1" applyBorder="1" applyAlignment="1"/>
    <xf numFmtId="167" fontId="20" fillId="26" borderId="32" xfId="0" applyNumberFormat="1" applyFont="1" applyFill="1" applyBorder="1"/>
    <xf numFmtId="164" fontId="20" fillId="26" borderId="32" xfId="29" applyFont="1" applyFill="1" applyBorder="1" applyAlignment="1"/>
    <xf numFmtId="166" fontId="20" fillId="26" borderId="38" xfId="29" applyNumberFormat="1" applyFont="1" applyFill="1" applyBorder="1" applyAlignment="1"/>
    <xf numFmtId="10" fontId="20" fillId="26" borderId="35" xfId="41" applyNumberFormat="1" applyFont="1" applyFill="1" applyBorder="1" applyAlignment="1"/>
    <xf numFmtId="0" fontId="19" fillId="26" borderId="39" xfId="0" applyFont="1" applyFill="1" applyBorder="1"/>
    <xf numFmtId="0" fontId="19" fillId="26" borderId="40" xfId="0" applyFont="1" applyFill="1" applyBorder="1"/>
    <xf numFmtId="0" fontId="20" fillId="26" borderId="41" xfId="0" applyFont="1" applyFill="1" applyBorder="1"/>
    <xf numFmtId="15" fontId="20" fillId="26" borderId="42" xfId="0" applyNumberFormat="1" applyFont="1" applyFill="1" applyBorder="1"/>
    <xf numFmtId="167" fontId="20" fillId="26" borderId="43" xfId="41" applyNumberFormat="1" applyFont="1" applyFill="1" applyBorder="1" applyAlignment="1"/>
    <xf numFmtId="167" fontId="20" fillId="26" borderId="42" xfId="0" applyNumberFormat="1" applyFont="1" applyFill="1" applyBorder="1"/>
    <xf numFmtId="164" fontId="20" fillId="26" borderId="42" xfId="29" applyFont="1" applyFill="1" applyBorder="1" applyAlignment="1"/>
    <xf numFmtId="166" fontId="20" fillId="26" borderId="44" xfId="29" applyNumberFormat="1" applyFont="1" applyFill="1" applyBorder="1" applyAlignment="1"/>
    <xf numFmtId="10" fontId="20" fillId="26" borderId="40" xfId="41" applyNumberFormat="1" applyFont="1" applyFill="1" applyBorder="1" applyAlignment="1"/>
    <xf numFmtId="164" fontId="20" fillId="0" borderId="15" xfId="29" applyFont="1" applyFill="1" applyBorder="1" applyAlignment="1">
      <alignment horizontal="right"/>
    </xf>
    <xf numFmtId="0" fontId="19" fillId="26" borderId="35" xfId="0" applyFont="1" applyFill="1" applyBorder="1"/>
    <xf numFmtId="0" fontId="22" fillId="0" borderId="0" xfId="0" applyFont="1"/>
    <xf numFmtId="15" fontId="20" fillId="26" borderId="0" xfId="0" applyNumberFormat="1" applyFont="1" applyFill="1"/>
    <xf numFmtId="167" fontId="20" fillId="26" borderId="0" xfId="41" applyNumberFormat="1" applyFont="1" applyFill="1" applyBorder="1" applyAlignment="1"/>
    <xf numFmtId="10" fontId="20" fillId="0" borderId="33" xfId="41" applyNumberFormat="1" applyFont="1" applyFill="1" applyBorder="1" applyAlignment="1"/>
    <xf numFmtId="0" fontId="20" fillId="0" borderId="36" xfId="0" applyFont="1" applyBorder="1"/>
    <xf numFmtId="15" fontId="20" fillId="0" borderId="32" xfId="0" applyNumberFormat="1" applyFont="1" applyBorder="1"/>
    <xf numFmtId="167" fontId="20" fillId="0" borderId="37" xfId="41" applyNumberFormat="1" applyFont="1" applyFill="1" applyBorder="1" applyAlignment="1"/>
    <xf numFmtId="164" fontId="20" fillId="0" borderId="32" xfId="29" applyFont="1" applyFill="1" applyBorder="1" applyAlignment="1"/>
    <xf numFmtId="10" fontId="20" fillId="0" borderId="35" xfId="41" applyNumberFormat="1" applyFont="1" applyFill="1" applyBorder="1" applyAlignment="1"/>
    <xf numFmtId="169" fontId="20" fillId="0" borderId="46" xfId="0" applyNumberFormat="1" applyFont="1" applyBorder="1"/>
    <xf numFmtId="167" fontId="20" fillId="0" borderId="16" xfId="0" applyNumberFormat="1" applyFont="1" applyBorder="1"/>
    <xf numFmtId="164" fontId="20" fillId="26" borderId="15" xfId="29" applyFont="1" applyFill="1" applyBorder="1" applyAlignment="1">
      <alignment horizontal="right"/>
    </xf>
    <xf numFmtId="169" fontId="20" fillId="0" borderId="1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47" xfId="0" applyFont="1" applyBorder="1" applyAlignment="1">
      <alignment horizontal="center"/>
    </xf>
    <xf numFmtId="0" fontId="20" fillId="0" borderId="0" xfId="0" applyFont="1" applyAlignment="1">
      <alignment horizontal="center"/>
    </xf>
    <xf numFmtId="15" fontId="20" fillId="0" borderId="47" xfId="0" applyNumberFormat="1" applyFont="1" applyBorder="1" applyAlignment="1">
      <alignment horizontal="center"/>
    </xf>
    <xf numFmtId="167" fontId="20" fillId="0" borderId="0" xfId="0" applyNumberFormat="1" applyFont="1" applyAlignment="1">
      <alignment horizontal="center"/>
    </xf>
    <xf numFmtId="0" fontId="20" fillId="0" borderId="47" xfId="0" applyFont="1" applyBorder="1" applyAlignment="1">
      <alignment horizontal="center"/>
    </xf>
    <xf numFmtId="0" fontId="23" fillId="28" borderId="22" xfId="0" applyFont="1" applyFill="1" applyBorder="1" applyAlignment="1">
      <alignment horizontal="center" vertical="center" wrapText="1"/>
    </xf>
    <xf numFmtId="167" fontId="23" fillId="28" borderId="22" xfId="0" applyNumberFormat="1" applyFont="1" applyFill="1" applyBorder="1" applyAlignment="1">
      <alignment horizontal="center" vertical="center" wrapText="1"/>
    </xf>
    <xf numFmtId="0" fontId="23" fillId="28" borderId="10" xfId="0" applyFont="1" applyFill="1" applyBorder="1" applyAlignment="1">
      <alignment horizontal="center" vertical="center" wrapText="1"/>
    </xf>
    <xf numFmtId="170" fontId="20" fillId="0" borderId="47" xfId="0" applyNumberFormat="1" applyFont="1" applyBorder="1" applyAlignment="1">
      <alignment horizontal="center"/>
    </xf>
    <xf numFmtId="167" fontId="20" fillId="0" borderId="47" xfId="0" applyNumberFormat="1" applyFont="1" applyBorder="1" applyAlignment="1">
      <alignment horizontal="center"/>
    </xf>
    <xf numFmtId="166" fontId="19" fillId="0" borderId="22" xfId="29" applyNumberFormat="1" applyFont="1" applyFill="1" applyBorder="1" applyAlignment="1">
      <alignment horizontal="center"/>
    </xf>
    <xf numFmtId="167" fontId="20" fillId="0" borderId="47" xfId="41" applyNumberFormat="1" applyFont="1" applyFill="1" applyBorder="1" applyAlignment="1">
      <alignment horizontal="center"/>
    </xf>
    <xf numFmtId="166" fontId="20" fillId="0" borderId="47" xfId="29" applyNumberFormat="1" applyFont="1" applyFill="1" applyBorder="1" applyAlignment="1">
      <alignment horizontal="center"/>
    </xf>
    <xf numFmtId="15" fontId="0" fillId="0" borderId="0" xfId="0" applyNumberFormat="1"/>
    <xf numFmtId="10" fontId="0" fillId="0" borderId="0" xfId="0" applyNumberFormat="1"/>
    <xf numFmtId="3" fontId="0" fillId="0" borderId="0" xfId="0" applyNumberFormat="1"/>
    <xf numFmtId="166" fontId="20" fillId="0" borderId="48" xfId="29" applyNumberFormat="1" applyFont="1" applyFill="1" applyBorder="1" applyAlignment="1">
      <alignment horizontal="center"/>
    </xf>
    <xf numFmtId="164" fontId="20" fillId="0" borderId="47" xfId="29" quotePrefix="1" applyFont="1" applyFill="1" applyBorder="1" applyAlignment="1">
      <alignment horizontal="right"/>
    </xf>
    <xf numFmtId="166" fontId="20" fillId="0" borderId="47" xfId="29" applyNumberFormat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4" fillId="0" borderId="47" xfId="0" applyFont="1" applyBorder="1"/>
    <xf numFmtId="164" fontId="19" fillId="0" borderId="22" xfId="29" applyFont="1" applyBorder="1" applyAlignment="1">
      <alignment horizontal="center"/>
    </xf>
    <xf numFmtId="164" fontId="19" fillId="0" borderId="52" xfId="29" quotePrefix="1" applyFont="1" applyFill="1" applyBorder="1" applyAlignment="1"/>
    <xf numFmtId="166" fontId="19" fillId="0" borderId="52" xfId="29" applyNumberFormat="1" applyFont="1" applyFill="1" applyBorder="1" applyAlignment="1">
      <alignment horizontal="center"/>
    </xf>
    <xf numFmtId="15" fontId="25" fillId="0" borderId="47" xfId="0" applyNumberFormat="1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5" fillId="0" borderId="25" xfId="0" applyFont="1" applyBorder="1" applyAlignment="1">
      <alignment vertical="center"/>
    </xf>
    <xf numFmtId="15" fontId="25" fillId="0" borderId="25" xfId="0" applyNumberFormat="1" applyFont="1" applyBorder="1" applyAlignment="1">
      <alignment horizontal="center" vertical="center"/>
    </xf>
    <xf numFmtId="167" fontId="25" fillId="0" borderId="25" xfId="41" applyNumberFormat="1" applyFont="1" applyFill="1" applyBorder="1" applyAlignment="1">
      <alignment horizontal="center" vertical="center"/>
    </xf>
    <xf numFmtId="164" fontId="25" fillId="0" borderId="47" xfId="29" quotePrefix="1" applyFont="1" applyFill="1" applyBorder="1" applyAlignment="1">
      <alignment vertical="center"/>
    </xf>
    <xf numFmtId="166" fontId="25" fillId="0" borderId="47" xfId="29" applyNumberFormat="1" applyFont="1" applyFill="1" applyBorder="1" applyAlignment="1">
      <alignment horizontal="right"/>
    </xf>
    <xf numFmtId="0" fontId="25" fillId="0" borderId="0" xfId="0" applyFont="1"/>
    <xf numFmtId="164" fontId="26" fillId="0" borderId="22" xfId="29" quotePrefix="1" applyFont="1" applyFill="1" applyBorder="1" applyAlignment="1"/>
    <xf numFmtId="164" fontId="25" fillId="0" borderId="0" xfId="29" quotePrefix="1" applyFont="1" applyFill="1" applyBorder="1" applyAlignment="1">
      <alignment vertical="center"/>
    </xf>
    <xf numFmtId="167" fontId="25" fillId="0" borderId="47" xfId="41" applyNumberFormat="1" applyFont="1" applyFill="1" applyBorder="1" applyAlignment="1">
      <alignment horizontal="center" vertical="center" wrapText="1"/>
    </xf>
    <xf numFmtId="167" fontId="20" fillId="0" borderId="53" xfId="41" quotePrefix="1" applyNumberFormat="1" applyFont="1" applyFill="1" applyBorder="1" applyAlignment="1">
      <alignment horizontal="center"/>
    </xf>
    <xf numFmtId="167" fontId="20" fillId="0" borderId="25" xfId="41" quotePrefix="1" applyNumberFormat="1" applyFont="1" applyFill="1" applyBorder="1" applyAlignment="1">
      <alignment horizontal="center"/>
    </xf>
    <xf numFmtId="3" fontId="27" fillId="0" borderId="53" xfId="0" applyNumberFormat="1" applyFont="1" applyBorder="1" applyAlignment="1" applyProtection="1">
      <alignment horizontal="right" vertical="top" wrapText="1" readingOrder="1"/>
      <protection locked="0"/>
    </xf>
    <xf numFmtId="3" fontId="28" fillId="0" borderId="53" xfId="0" quotePrefix="1" applyNumberFormat="1" applyFont="1" applyBorder="1" applyAlignment="1" applyProtection="1">
      <alignment horizontal="right" vertical="top" wrapText="1" readingOrder="1"/>
      <protection locked="0"/>
    </xf>
    <xf numFmtId="3" fontId="27" fillId="0" borderId="47" xfId="0" applyNumberFormat="1" applyFont="1" applyBorder="1" applyAlignment="1" applyProtection="1">
      <alignment horizontal="right" vertical="top" wrapText="1" readingOrder="1"/>
      <protection locked="0"/>
    </xf>
    <xf numFmtId="3" fontId="27" fillId="0" borderId="47" xfId="0" quotePrefix="1" applyNumberFormat="1" applyFont="1" applyBorder="1" applyAlignment="1" applyProtection="1">
      <alignment horizontal="right" vertical="top" wrapText="1" readingOrder="1"/>
      <protection locked="0"/>
    </xf>
    <xf numFmtId="167" fontId="20" fillId="0" borderId="0" xfId="0" quotePrefix="1" applyNumberFormat="1" applyFont="1" applyAlignment="1">
      <alignment horizontal="center"/>
    </xf>
    <xf numFmtId="167" fontId="20" fillId="0" borderId="47" xfId="0" quotePrefix="1" applyNumberFormat="1" applyFont="1" applyBorder="1" applyAlignment="1">
      <alignment horizontal="center"/>
    </xf>
    <xf numFmtId="167" fontId="20" fillId="0" borderId="54" xfId="0" applyNumberFormat="1" applyFont="1" applyBorder="1" applyAlignment="1">
      <alignment horizontal="center"/>
    </xf>
    <xf numFmtId="164" fontId="19" fillId="0" borderId="22" xfId="29" quotePrefix="1" applyFont="1" applyFill="1" applyBorder="1" applyAlignment="1"/>
    <xf numFmtId="0" fontId="20" fillId="0" borderId="47" xfId="0" applyFont="1" applyBorder="1" applyAlignment="1">
      <alignment horizontal="left"/>
    </xf>
    <xf numFmtId="164" fontId="20" fillId="0" borderId="48" xfId="29" quotePrefix="1" applyFont="1" applyFill="1" applyBorder="1" applyAlignment="1"/>
    <xf numFmtId="166" fontId="20" fillId="0" borderId="52" xfId="29" applyNumberFormat="1" applyFont="1" applyFill="1" applyBorder="1" applyAlignment="1">
      <alignment horizontal="center"/>
    </xf>
    <xf numFmtId="167" fontId="20" fillId="0" borderId="25" xfId="0" applyNumberFormat="1" applyFont="1" applyBorder="1" applyAlignment="1">
      <alignment horizontal="center"/>
    </xf>
    <xf numFmtId="170" fontId="20" fillId="0" borderId="55" xfId="0" applyNumberFormat="1" applyFont="1" applyBorder="1" applyAlignment="1">
      <alignment horizontal="center"/>
    </xf>
    <xf numFmtId="0" fontId="20" fillId="0" borderId="55" xfId="0" applyFont="1" applyBorder="1" applyAlignment="1">
      <alignment horizontal="center"/>
    </xf>
    <xf numFmtId="0" fontId="24" fillId="0" borderId="55" xfId="0" applyFont="1" applyBorder="1"/>
    <xf numFmtId="167" fontId="20" fillId="0" borderId="55" xfId="41" applyNumberFormat="1" applyFont="1" applyFill="1" applyBorder="1" applyAlignment="1">
      <alignment horizontal="center"/>
    </xf>
    <xf numFmtId="167" fontId="20" fillId="0" borderId="55" xfId="41" quotePrefix="1" applyNumberFormat="1" applyFont="1" applyFill="1" applyBorder="1" applyAlignment="1">
      <alignment horizontal="center"/>
    </xf>
    <xf numFmtId="166" fontId="20" fillId="0" borderId="55" xfId="29" applyNumberFormat="1" applyFont="1" applyFill="1" applyBorder="1" applyAlignment="1">
      <alignment horizontal="center"/>
    </xf>
    <xf numFmtId="0" fontId="19" fillId="0" borderId="57" xfId="0" applyFont="1" applyBorder="1" applyAlignment="1">
      <alignment horizontal="center"/>
    </xf>
    <xf numFmtId="0" fontId="24" fillId="0" borderId="57" xfId="0" applyFont="1" applyBorder="1"/>
    <xf numFmtId="15" fontId="20" fillId="0" borderId="57" xfId="0" applyNumberFormat="1" applyFont="1" applyBorder="1" applyAlignment="1">
      <alignment horizontal="center"/>
    </xf>
    <xf numFmtId="167" fontId="20" fillId="0" borderId="57" xfId="41" applyNumberFormat="1" applyFont="1" applyFill="1" applyBorder="1" applyAlignment="1">
      <alignment horizontal="center"/>
    </xf>
    <xf numFmtId="167" fontId="20" fillId="0" borderId="40" xfId="0" applyNumberFormat="1" applyFont="1" applyBorder="1" applyAlignment="1">
      <alignment horizontal="center"/>
    </xf>
    <xf numFmtId="167" fontId="20" fillId="0" borderId="57" xfId="0" applyNumberFormat="1" applyFont="1" applyBorder="1" applyAlignment="1">
      <alignment horizontal="center"/>
    </xf>
    <xf numFmtId="3" fontId="27" fillId="0" borderId="57" xfId="0" applyNumberFormat="1" applyFont="1" applyBorder="1" applyAlignment="1" applyProtection="1">
      <alignment horizontal="right" vertical="top" wrapText="1" readingOrder="1"/>
      <protection locked="0"/>
    </xf>
    <xf numFmtId="167" fontId="20" fillId="0" borderId="47" xfId="41" quotePrefix="1" applyNumberFormat="1" applyFont="1" applyFill="1" applyBorder="1" applyAlignment="1">
      <alignment horizontal="center"/>
    </xf>
    <xf numFmtId="3" fontId="28" fillId="0" borderId="47" xfId="0" quotePrefix="1" applyNumberFormat="1" applyFont="1" applyBorder="1" applyAlignment="1" applyProtection="1">
      <alignment horizontal="right" vertical="top" wrapText="1" readingOrder="1"/>
      <protection locked="0"/>
    </xf>
    <xf numFmtId="164" fontId="19" fillId="0" borderId="54" xfId="29" quotePrefix="1" applyFont="1" applyFill="1" applyBorder="1" applyAlignment="1"/>
    <xf numFmtId="166" fontId="19" fillId="0" borderId="54" xfId="29" applyNumberFormat="1" applyFont="1" applyFill="1" applyBorder="1" applyAlignment="1">
      <alignment horizontal="center"/>
    </xf>
    <xf numFmtId="164" fontId="19" fillId="0" borderId="48" xfId="29" quotePrefix="1" applyFont="1" applyFill="1" applyBorder="1" applyAlignment="1"/>
    <xf numFmtId="0" fontId="20" fillId="0" borderId="56" xfId="0" applyFont="1" applyBorder="1"/>
    <xf numFmtId="167" fontId="20" fillId="0" borderId="62" xfId="41" applyNumberFormat="1" applyFont="1" applyFill="1" applyBorder="1" applyAlignment="1">
      <alignment horizontal="center"/>
    </xf>
    <xf numFmtId="15" fontId="20" fillId="0" borderId="63" xfId="0" applyNumberFormat="1" applyFont="1" applyBorder="1" applyAlignment="1">
      <alignment horizontal="center"/>
    </xf>
    <xf numFmtId="167" fontId="20" fillId="0" borderId="64" xfId="41" applyNumberFormat="1" applyFont="1" applyFill="1" applyBorder="1" applyAlignment="1">
      <alignment horizontal="center"/>
    </xf>
    <xf numFmtId="167" fontId="20" fillId="0" borderId="40" xfId="0" quotePrefix="1" applyNumberFormat="1" applyFont="1" applyBorder="1" applyAlignment="1">
      <alignment horizontal="center"/>
    </xf>
    <xf numFmtId="167" fontId="20" fillId="0" borderId="57" xfId="0" quotePrefix="1" applyNumberFormat="1" applyFont="1" applyBorder="1" applyAlignment="1">
      <alignment horizontal="center"/>
    </xf>
    <xf numFmtId="3" fontId="27" fillId="0" borderId="57" xfId="0" quotePrefix="1" applyNumberFormat="1" applyFont="1" applyBorder="1" applyAlignment="1" applyProtection="1">
      <alignment horizontal="right" vertical="top" wrapText="1" readingOrder="1"/>
      <protection locked="0"/>
    </xf>
    <xf numFmtId="166" fontId="20" fillId="0" borderId="52" xfId="29" quotePrefix="1" applyNumberFormat="1" applyFont="1" applyFill="1" applyBorder="1" applyAlignment="1">
      <alignment horizontal="center"/>
    </xf>
    <xf numFmtId="3" fontId="31" fillId="0" borderId="53" xfId="0" quotePrefix="1" applyNumberFormat="1" applyFont="1" applyBorder="1" applyAlignment="1" applyProtection="1">
      <alignment horizontal="right" vertical="top" wrapText="1" readingOrder="1"/>
      <protection locked="0"/>
    </xf>
    <xf numFmtId="3" fontId="31" fillId="0" borderId="47" xfId="0" quotePrefix="1" applyNumberFormat="1" applyFont="1" applyBorder="1" applyAlignment="1" applyProtection="1">
      <alignment horizontal="right" vertical="top" wrapText="1" readingOrder="1"/>
      <protection locked="0"/>
    </xf>
    <xf numFmtId="3" fontId="31" fillId="0" borderId="57" xfId="0" applyNumberFormat="1" applyFont="1" applyBorder="1" applyAlignment="1" applyProtection="1">
      <alignment horizontal="right" vertical="top" wrapText="1" readingOrder="1"/>
      <protection locked="0"/>
    </xf>
    <xf numFmtId="3" fontId="31" fillId="0" borderId="53" xfId="0" applyNumberFormat="1" applyFont="1" applyBorder="1" applyAlignment="1" applyProtection="1">
      <alignment horizontal="right" vertical="top" wrapText="1" readingOrder="1"/>
      <protection locked="0"/>
    </xf>
    <xf numFmtId="3" fontId="31" fillId="0" borderId="47" xfId="0" applyNumberFormat="1" applyFont="1" applyBorder="1" applyAlignment="1" applyProtection="1">
      <alignment horizontal="right" vertical="top" wrapText="1" readingOrder="1"/>
      <protection locked="0"/>
    </xf>
    <xf numFmtId="3" fontId="31" fillId="0" borderId="57" xfId="0" quotePrefix="1" applyNumberFormat="1" applyFont="1" applyBorder="1" applyAlignment="1" applyProtection="1">
      <alignment horizontal="right" vertical="top" wrapText="1" readingOrder="1"/>
      <protection locked="0"/>
    </xf>
    <xf numFmtId="3" fontId="31" fillId="0" borderId="55" xfId="0" quotePrefix="1" applyNumberFormat="1" applyFont="1" applyBorder="1" applyAlignment="1" applyProtection="1">
      <alignment horizontal="right" vertical="top" wrapText="1" readingOrder="1"/>
      <protection locked="0"/>
    </xf>
    <xf numFmtId="170" fontId="20" fillId="0" borderId="22" xfId="0" applyNumberFormat="1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4" fillId="0" borderId="22" xfId="0" applyFont="1" applyBorder="1"/>
    <xf numFmtId="15" fontId="20" fillId="0" borderId="22" xfId="0" applyNumberFormat="1" applyFont="1" applyBorder="1" applyAlignment="1">
      <alignment horizontal="center"/>
    </xf>
    <xf numFmtId="167" fontId="20" fillId="0" borderId="22" xfId="41" applyNumberFormat="1" applyFont="1" applyFill="1" applyBorder="1" applyAlignment="1">
      <alignment horizontal="center"/>
    </xf>
    <xf numFmtId="167" fontId="20" fillId="0" borderId="22" xfId="41" quotePrefix="1" applyNumberFormat="1" applyFont="1" applyFill="1" applyBorder="1" applyAlignment="1">
      <alignment horizontal="center"/>
    </xf>
    <xf numFmtId="166" fontId="20" fillId="0" borderId="22" xfId="29" applyNumberFormat="1" applyFont="1" applyFill="1" applyBorder="1" applyAlignment="1">
      <alignment horizontal="center"/>
    </xf>
    <xf numFmtId="3" fontId="31" fillId="0" borderId="22" xfId="0" quotePrefix="1" applyNumberFormat="1" applyFont="1" applyBorder="1" applyAlignment="1" applyProtection="1">
      <alignment horizontal="right" vertical="top" wrapText="1" readingOrder="1"/>
      <protection locked="0"/>
    </xf>
    <xf numFmtId="170" fontId="20" fillId="0" borderId="23" xfId="0" applyNumberFormat="1" applyFont="1" applyBorder="1" applyAlignment="1">
      <alignment horizontal="center"/>
    </xf>
    <xf numFmtId="170" fontId="20" fillId="0" borderId="0" xfId="0" applyNumberFormat="1" applyFont="1" applyAlignment="1">
      <alignment horizontal="center"/>
    </xf>
    <xf numFmtId="3" fontId="27" fillId="0" borderId="53" xfId="0" quotePrefix="1" applyNumberFormat="1" applyFont="1" applyBorder="1" applyAlignment="1" applyProtection="1">
      <alignment horizontal="right" vertical="top" wrapText="1" readingOrder="1"/>
      <protection locked="0"/>
    </xf>
    <xf numFmtId="166" fontId="20" fillId="0" borderId="48" xfId="29" quotePrefix="1" applyNumberFormat="1" applyFont="1" applyFill="1" applyBorder="1" applyAlignment="1">
      <alignment horizontal="center"/>
    </xf>
    <xf numFmtId="167" fontId="20" fillId="0" borderId="0" xfId="41" quotePrefix="1" applyNumberFormat="1" applyFont="1" applyFill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3" fontId="27" fillId="0" borderId="55" xfId="0" applyNumberFormat="1" applyFont="1" applyBorder="1" applyAlignment="1" applyProtection="1">
      <alignment horizontal="right" vertical="top" wrapText="1" readingOrder="1"/>
      <protection locked="0"/>
    </xf>
    <xf numFmtId="170" fontId="20" fillId="0" borderId="65" xfId="0" applyNumberFormat="1" applyFont="1" applyBorder="1" applyAlignment="1">
      <alignment horizontal="center"/>
    </xf>
    <xf numFmtId="0" fontId="20" fillId="0" borderId="66" xfId="0" applyFont="1" applyBorder="1" applyAlignment="1">
      <alignment horizontal="center"/>
    </xf>
    <xf numFmtId="170" fontId="20" fillId="0" borderId="67" xfId="0" applyNumberFormat="1" applyFont="1" applyBorder="1" applyAlignment="1">
      <alignment horizontal="center"/>
    </xf>
    <xf numFmtId="15" fontId="20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170" fontId="20" fillId="29" borderId="55" xfId="0" applyNumberFormat="1" applyFont="1" applyFill="1" applyBorder="1" applyAlignment="1">
      <alignment horizontal="center"/>
    </xf>
    <xf numFmtId="0" fontId="20" fillId="29" borderId="55" xfId="0" applyFont="1" applyFill="1" applyBorder="1" applyAlignment="1">
      <alignment horizontal="center"/>
    </xf>
    <xf numFmtId="0" fontId="24" fillId="29" borderId="55" xfId="0" applyFont="1" applyFill="1" applyBorder="1"/>
    <xf numFmtId="15" fontId="20" fillId="29" borderId="63" xfId="0" applyNumberFormat="1" applyFont="1" applyFill="1" applyBorder="1" applyAlignment="1">
      <alignment horizontal="center"/>
    </xf>
    <xf numFmtId="167" fontId="20" fillId="29" borderId="62" xfId="41" applyNumberFormat="1" applyFont="1" applyFill="1" applyBorder="1" applyAlignment="1">
      <alignment horizontal="center"/>
    </xf>
    <xf numFmtId="167" fontId="20" fillId="29" borderId="64" xfId="41" applyNumberFormat="1" applyFont="1" applyFill="1" applyBorder="1" applyAlignment="1">
      <alignment horizontal="center"/>
    </xf>
    <xf numFmtId="167" fontId="20" fillId="29" borderId="55" xfId="41" applyNumberFormat="1" applyFont="1" applyFill="1" applyBorder="1" applyAlignment="1">
      <alignment horizontal="center"/>
    </xf>
    <xf numFmtId="167" fontId="20" fillId="29" borderId="55" xfId="41" quotePrefix="1" applyNumberFormat="1" applyFont="1" applyFill="1" applyBorder="1" applyAlignment="1">
      <alignment horizontal="center"/>
    </xf>
    <xf numFmtId="3" fontId="30" fillId="29" borderId="55" xfId="0" quotePrefix="1" applyNumberFormat="1" applyFont="1" applyFill="1" applyBorder="1" applyAlignment="1" applyProtection="1">
      <alignment horizontal="right" vertical="top" wrapText="1" readingOrder="1"/>
      <protection locked="0"/>
    </xf>
    <xf numFmtId="166" fontId="20" fillId="29" borderId="55" xfId="29" applyNumberFormat="1" applyFont="1" applyFill="1" applyBorder="1" applyAlignment="1">
      <alignment horizontal="center"/>
    </xf>
    <xf numFmtId="0" fontId="20" fillId="29" borderId="0" xfId="0" applyFont="1" applyFill="1"/>
    <xf numFmtId="166" fontId="19" fillId="0" borderId="47" xfId="29" applyNumberFormat="1" applyFont="1" applyFill="1" applyBorder="1" applyAlignment="1">
      <alignment horizontal="center"/>
    </xf>
    <xf numFmtId="15" fontId="25" fillId="30" borderId="47" xfId="0" applyNumberFormat="1" applyFont="1" applyFill="1" applyBorder="1" applyAlignment="1">
      <alignment horizontal="center"/>
    </xf>
    <xf numFmtId="0" fontId="25" fillId="30" borderId="25" xfId="0" applyFont="1" applyFill="1" applyBorder="1" applyAlignment="1">
      <alignment horizontal="center"/>
    </xf>
    <xf numFmtId="0" fontId="25" fillId="30" borderId="25" xfId="0" applyFont="1" applyFill="1" applyBorder="1" applyAlignment="1">
      <alignment vertical="center"/>
    </xf>
    <xf numFmtId="15" fontId="25" fillId="30" borderId="25" xfId="0" applyNumberFormat="1" applyFont="1" applyFill="1" applyBorder="1" applyAlignment="1">
      <alignment horizontal="center" vertical="center"/>
    </xf>
    <xf numFmtId="167" fontId="25" fillId="30" borderId="47" xfId="41" applyNumberFormat="1" applyFont="1" applyFill="1" applyBorder="1" applyAlignment="1">
      <alignment horizontal="center" vertical="center" wrapText="1"/>
    </xf>
    <xf numFmtId="167" fontId="25" fillId="30" borderId="25" xfId="41" applyNumberFormat="1" applyFont="1" applyFill="1" applyBorder="1" applyAlignment="1">
      <alignment horizontal="center" vertical="center"/>
    </xf>
    <xf numFmtId="167" fontId="25" fillId="30" borderId="47" xfId="0" applyNumberFormat="1" applyFont="1" applyFill="1" applyBorder="1" applyAlignment="1">
      <alignment horizontal="center" vertical="center"/>
    </xf>
    <xf numFmtId="164" fontId="25" fillId="30" borderId="47" xfId="29" quotePrefix="1" applyFont="1" applyFill="1" applyBorder="1" applyAlignment="1">
      <alignment vertical="center"/>
    </xf>
    <xf numFmtId="166" fontId="25" fillId="30" borderId="47" xfId="29" applyNumberFormat="1" applyFont="1" applyFill="1" applyBorder="1" applyAlignment="1">
      <alignment horizontal="right"/>
    </xf>
    <xf numFmtId="164" fontId="26" fillId="30" borderId="22" xfId="29" quotePrefix="1" applyFont="1" applyFill="1" applyBorder="1" applyAlignment="1"/>
    <xf numFmtId="170" fontId="20" fillId="30" borderId="47" xfId="0" applyNumberFormat="1" applyFont="1" applyFill="1" applyBorder="1" applyAlignment="1">
      <alignment horizontal="center"/>
    </xf>
    <xf numFmtId="0" fontId="20" fillId="30" borderId="47" xfId="0" applyFont="1" applyFill="1" applyBorder="1" applyAlignment="1">
      <alignment horizontal="center"/>
    </xf>
    <xf numFmtId="0" fontId="24" fillId="30" borderId="47" xfId="0" applyFont="1" applyFill="1" applyBorder="1"/>
    <xf numFmtId="15" fontId="20" fillId="30" borderId="47" xfId="0" applyNumberFormat="1" applyFont="1" applyFill="1" applyBorder="1" applyAlignment="1">
      <alignment horizontal="center"/>
    </xf>
    <xf numFmtId="167" fontId="20" fillId="30" borderId="47" xfId="41" applyNumberFormat="1" applyFont="1" applyFill="1" applyBorder="1" applyAlignment="1">
      <alignment horizontal="center"/>
    </xf>
    <xf numFmtId="167" fontId="20" fillId="30" borderId="47" xfId="0" applyNumberFormat="1" applyFont="1" applyFill="1" applyBorder="1" applyAlignment="1">
      <alignment horizontal="center"/>
    </xf>
    <xf numFmtId="164" fontId="20" fillId="30" borderId="47" xfId="29" quotePrefix="1" applyFont="1" applyFill="1" applyBorder="1" applyAlignment="1"/>
    <xf numFmtId="164" fontId="20" fillId="30" borderId="47" xfId="29" applyFont="1" applyFill="1" applyBorder="1" applyAlignment="1"/>
    <xf numFmtId="166" fontId="20" fillId="30" borderId="48" xfId="29" applyNumberFormat="1" applyFont="1" applyFill="1" applyBorder="1" applyAlignment="1">
      <alignment horizontal="center"/>
    </xf>
    <xf numFmtId="166" fontId="20" fillId="30" borderId="47" xfId="29" applyNumberFormat="1" applyFont="1" applyFill="1" applyBorder="1" applyAlignment="1">
      <alignment horizontal="center"/>
    </xf>
    <xf numFmtId="0" fontId="19" fillId="30" borderId="47" xfId="0" applyFont="1" applyFill="1" applyBorder="1" applyAlignment="1">
      <alignment horizontal="center"/>
    </xf>
    <xf numFmtId="166" fontId="20" fillId="30" borderId="47" xfId="29" applyNumberFormat="1" applyFont="1" applyFill="1" applyBorder="1" applyAlignment="1">
      <alignment horizontal="right"/>
    </xf>
    <xf numFmtId="164" fontId="20" fillId="30" borderId="47" xfId="29" quotePrefix="1" applyFont="1" applyFill="1" applyBorder="1" applyAlignment="1">
      <alignment horizontal="right"/>
    </xf>
    <xf numFmtId="164" fontId="19" fillId="30" borderId="22" xfId="29" quotePrefix="1" applyFont="1" applyFill="1" applyBorder="1" applyAlignment="1"/>
    <xf numFmtId="166" fontId="19" fillId="30" borderId="22" xfId="29" applyNumberFormat="1" applyFont="1" applyFill="1" applyBorder="1" applyAlignment="1">
      <alignment horizontal="center"/>
    </xf>
    <xf numFmtId="170" fontId="29" fillId="30" borderId="47" xfId="0" applyNumberFormat="1" applyFont="1" applyFill="1" applyBorder="1" applyAlignment="1">
      <alignment horizontal="center"/>
    </xf>
    <xf numFmtId="0" fontId="20" fillId="30" borderId="47" xfId="0" applyFont="1" applyFill="1" applyBorder="1" applyAlignment="1">
      <alignment horizontal="left"/>
    </xf>
    <xf numFmtId="166" fontId="20" fillId="30" borderId="22" xfId="29" applyNumberFormat="1" applyFont="1" applyFill="1" applyBorder="1" applyAlignment="1">
      <alignment horizontal="center"/>
    </xf>
    <xf numFmtId="167" fontId="20" fillId="30" borderId="23" xfId="0" applyNumberFormat="1" applyFont="1" applyFill="1" applyBorder="1" applyAlignment="1">
      <alignment horizontal="center"/>
    </xf>
    <xf numFmtId="166" fontId="20" fillId="30" borderId="25" xfId="29" applyNumberFormat="1" applyFont="1" applyFill="1" applyBorder="1" applyAlignment="1">
      <alignment horizontal="center"/>
    </xf>
    <xf numFmtId="164" fontId="19" fillId="0" borderId="53" xfId="29" quotePrefix="1" applyFont="1" applyFill="1" applyBorder="1" applyAlignment="1"/>
    <xf numFmtId="164" fontId="19" fillId="30" borderId="54" xfId="29" quotePrefix="1" applyFont="1" applyFill="1" applyBorder="1" applyAlignment="1"/>
    <xf numFmtId="164" fontId="20" fillId="30" borderId="53" xfId="29" quotePrefix="1" applyFont="1" applyFill="1" applyBorder="1" applyAlignment="1"/>
    <xf numFmtId="164" fontId="20" fillId="30" borderId="54" xfId="29" quotePrefix="1" applyFont="1" applyFill="1" applyBorder="1" applyAlignment="1"/>
    <xf numFmtId="0" fontId="19" fillId="30" borderId="23" xfId="0" applyFont="1" applyFill="1" applyBorder="1" applyAlignment="1">
      <alignment horizontal="center"/>
    </xf>
    <xf numFmtId="0" fontId="19" fillId="30" borderId="25" xfId="0" applyFont="1" applyFill="1" applyBorder="1" applyAlignment="1">
      <alignment horizontal="center"/>
    </xf>
    <xf numFmtId="166" fontId="19" fillId="30" borderId="47" xfId="29" applyNumberFormat="1" applyFont="1" applyFill="1" applyBorder="1" applyAlignment="1">
      <alignment horizontal="center"/>
    </xf>
    <xf numFmtId="166" fontId="19" fillId="30" borderId="54" xfId="29" applyNumberFormat="1" applyFont="1" applyFill="1" applyBorder="1" applyAlignment="1">
      <alignment horizontal="center"/>
    </xf>
    <xf numFmtId="170" fontId="20" fillId="30" borderId="53" xfId="0" applyNumberFormat="1" applyFont="1" applyFill="1" applyBorder="1" applyAlignment="1">
      <alignment horizontal="center"/>
    </xf>
    <xf numFmtId="0" fontId="20" fillId="30" borderId="53" xfId="0" applyFont="1" applyFill="1" applyBorder="1" applyAlignment="1">
      <alignment horizontal="center"/>
    </xf>
    <xf numFmtId="0" fontId="24" fillId="30" borderId="53" xfId="0" applyFont="1" applyFill="1" applyBorder="1"/>
    <xf numFmtId="15" fontId="20" fillId="30" borderId="70" xfId="0" applyNumberFormat="1" applyFont="1" applyFill="1" applyBorder="1" applyAlignment="1">
      <alignment horizontal="center"/>
    </xf>
    <xf numFmtId="167" fontId="20" fillId="30" borderId="68" xfId="41" applyNumberFormat="1" applyFont="1" applyFill="1" applyBorder="1" applyAlignment="1">
      <alignment horizontal="center"/>
    </xf>
    <xf numFmtId="167" fontId="20" fillId="30" borderId="71" xfId="41" applyNumberFormat="1" applyFont="1" applyFill="1" applyBorder="1" applyAlignment="1">
      <alignment horizontal="center"/>
    </xf>
    <xf numFmtId="167" fontId="20" fillId="30" borderId="53" xfId="41" applyNumberFormat="1" applyFont="1" applyFill="1" applyBorder="1" applyAlignment="1">
      <alignment horizontal="center"/>
    </xf>
    <xf numFmtId="167" fontId="20" fillId="30" borderId="53" xfId="41" quotePrefix="1" applyNumberFormat="1" applyFont="1" applyFill="1" applyBorder="1" applyAlignment="1">
      <alignment horizontal="center"/>
    </xf>
    <xf numFmtId="3" fontId="30" fillId="30" borderId="53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30" fillId="30" borderId="53" xfId="0" applyNumberFormat="1" applyFont="1" applyFill="1" applyBorder="1" applyAlignment="1" applyProtection="1">
      <alignment horizontal="right" vertical="top" wrapText="1" readingOrder="1"/>
      <protection locked="0"/>
    </xf>
    <xf numFmtId="166" fontId="20" fillId="30" borderId="53" xfId="29" applyNumberFormat="1" applyFont="1" applyFill="1" applyBorder="1" applyAlignment="1">
      <alignment horizontal="center"/>
    </xf>
    <xf numFmtId="3" fontId="31" fillId="30" borderId="53" xfId="0" quotePrefix="1" applyNumberFormat="1" applyFont="1" applyFill="1" applyBorder="1" applyAlignment="1" applyProtection="1">
      <alignment horizontal="right" vertical="top" wrapText="1" readingOrder="1"/>
      <protection locked="0"/>
    </xf>
    <xf numFmtId="167" fontId="20" fillId="30" borderId="0" xfId="0" applyNumberFormat="1" applyFont="1" applyFill="1" applyAlignment="1">
      <alignment horizontal="center"/>
    </xf>
    <xf numFmtId="3" fontId="31" fillId="30" borderId="47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31" fillId="30" borderId="47" xfId="0" applyNumberFormat="1" applyFont="1" applyFill="1" applyBorder="1" applyAlignment="1" applyProtection="1">
      <alignment horizontal="right" vertical="top" wrapText="1" readingOrder="1"/>
      <protection locked="0"/>
    </xf>
    <xf numFmtId="167" fontId="20" fillId="30" borderId="47" xfId="0" quotePrefix="1" applyNumberFormat="1" applyFont="1" applyFill="1" applyBorder="1" applyAlignment="1">
      <alignment horizontal="center"/>
    </xf>
    <xf numFmtId="167" fontId="20" fillId="30" borderId="0" xfId="0" quotePrefix="1" applyNumberFormat="1" applyFont="1" applyFill="1" applyAlignment="1">
      <alignment horizontal="center"/>
    </xf>
    <xf numFmtId="170" fontId="20" fillId="30" borderId="23" xfId="0" applyNumberFormat="1" applyFont="1" applyFill="1" applyBorder="1" applyAlignment="1">
      <alignment horizontal="center"/>
    </xf>
    <xf numFmtId="0" fontId="20" fillId="30" borderId="25" xfId="0" applyFont="1" applyFill="1" applyBorder="1" applyAlignment="1">
      <alignment horizontal="center"/>
    </xf>
    <xf numFmtId="0" fontId="19" fillId="30" borderId="54" xfId="0" applyFont="1" applyFill="1" applyBorder="1" applyAlignment="1">
      <alignment horizontal="center"/>
    </xf>
    <xf numFmtId="3" fontId="31" fillId="30" borderId="72" xfId="0" applyNumberFormat="1" applyFont="1" applyFill="1" applyBorder="1" applyAlignment="1" applyProtection="1">
      <alignment horizontal="right" vertical="top" wrapText="1" readingOrder="1"/>
      <protection locked="0"/>
    </xf>
    <xf numFmtId="3" fontId="31" fillId="30" borderId="23" xfId="0" applyNumberFormat="1" applyFont="1" applyFill="1" applyBorder="1" applyAlignment="1" applyProtection="1">
      <alignment horizontal="right" vertical="top" wrapText="1" readingOrder="1"/>
      <protection locked="0"/>
    </xf>
    <xf numFmtId="3" fontId="31" fillId="30" borderId="23" xfId="0" quotePrefix="1" applyNumberFormat="1" applyFont="1" applyFill="1" applyBorder="1" applyAlignment="1" applyProtection="1">
      <alignment horizontal="right" vertical="top" wrapText="1" readingOrder="1"/>
      <protection locked="0"/>
    </xf>
    <xf numFmtId="166" fontId="20" fillId="30" borderId="54" xfId="29" applyNumberFormat="1" applyFont="1" applyFill="1" applyBorder="1" applyAlignment="1">
      <alignment horizontal="center"/>
    </xf>
    <xf numFmtId="164" fontId="19" fillId="30" borderId="53" xfId="29" quotePrefix="1" applyFont="1" applyFill="1" applyBorder="1" applyAlignment="1"/>
    <xf numFmtId="164" fontId="25" fillId="30" borderId="23" xfId="29" quotePrefix="1" applyFont="1" applyFill="1" applyBorder="1" applyAlignment="1">
      <alignment vertical="center"/>
    </xf>
    <xf numFmtId="164" fontId="20" fillId="30" borderId="23" xfId="29" quotePrefix="1" applyFont="1" applyFill="1" applyBorder="1" applyAlignment="1">
      <alignment horizontal="right"/>
    </xf>
    <xf numFmtId="164" fontId="26" fillId="30" borderId="54" xfId="29" quotePrefix="1" applyFont="1" applyFill="1" applyBorder="1" applyAlignment="1"/>
    <xf numFmtId="0" fontId="20" fillId="31" borderId="0" xfId="0" applyFont="1" applyFill="1"/>
    <xf numFmtId="0" fontId="19" fillId="31" borderId="0" xfId="0" applyFont="1" applyFill="1"/>
    <xf numFmtId="166" fontId="20" fillId="30" borderId="53" xfId="29" applyNumberFormat="1" applyFont="1" applyFill="1" applyBorder="1" applyAlignment="1">
      <alignment horizontal="right"/>
    </xf>
    <xf numFmtId="167" fontId="20" fillId="30" borderId="25" xfId="0" applyNumberFormat="1" applyFont="1" applyFill="1" applyBorder="1" applyAlignment="1">
      <alignment horizontal="center"/>
    </xf>
    <xf numFmtId="167" fontId="20" fillId="30" borderId="47" xfId="41" quotePrefix="1" applyNumberFormat="1" applyFont="1" applyFill="1" applyBorder="1" applyAlignment="1">
      <alignment horizontal="center"/>
    </xf>
    <xf numFmtId="167" fontId="20" fillId="30" borderId="72" xfId="41" quotePrefix="1" applyNumberFormat="1" applyFont="1" applyFill="1" applyBorder="1" applyAlignment="1">
      <alignment horizontal="center"/>
    </xf>
    <xf numFmtId="167" fontId="20" fillId="30" borderId="23" xfId="41" quotePrefix="1" applyNumberFormat="1" applyFont="1" applyFill="1" applyBorder="1" applyAlignment="1">
      <alignment horizontal="center"/>
    </xf>
    <xf numFmtId="3" fontId="27" fillId="30" borderId="53" xfId="0" quotePrefix="1" applyNumberFormat="1" applyFont="1" applyFill="1" applyBorder="1" applyAlignment="1" applyProtection="1">
      <alignment horizontal="right" vertical="top" wrapText="1" readingOrder="1"/>
      <protection locked="0"/>
    </xf>
    <xf numFmtId="166" fontId="20" fillId="30" borderId="48" xfId="29" quotePrefix="1" applyNumberFormat="1" applyFont="1" applyFill="1" applyBorder="1" applyAlignment="1">
      <alignment horizontal="center"/>
    </xf>
    <xf numFmtId="167" fontId="20" fillId="30" borderId="0" xfId="41" quotePrefix="1" applyNumberFormat="1" applyFont="1" applyFill="1" applyBorder="1" applyAlignment="1">
      <alignment horizontal="center"/>
    </xf>
    <xf numFmtId="3" fontId="27" fillId="30" borderId="47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7" fillId="30" borderId="47" xfId="0" applyNumberFormat="1" applyFont="1" applyFill="1" applyBorder="1" applyAlignment="1" applyProtection="1">
      <alignment horizontal="right" vertical="top" wrapText="1" readingOrder="1"/>
      <protection locked="0"/>
    </xf>
    <xf numFmtId="3" fontId="27" fillId="30" borderId="72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7" fillId="30" borderId="23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7" fillId="30" borderId="23" xfId="0" applyNumberFormat="1" applyFont="1" applyFill="1" applyBorder="1" applyAlignment="1" applyProtection="1">
      <alignment horizontal="right" vertical="top" wrapText="1" readingOrder="1"/>
      <protection locked="0"/>
    </xf>
    <xf numFmtId="166" fontId="20" fillId="30" borderId="53" xfId="29" quotePrefix="1" applyNumberFormat="1" applyFont="1" applyFill="1" applyBorder="1" applyAlignment="1">
      <alignment horizontal="center"/>
    </xf>
    <xf numFmtId="166" fontId="20" fillId="30" borderId="47" xfId="29" quotePrefix="1" applyNumberFormat="1" applyFont="1" applyFill="1" applyBorder="1" applyAlignment="1">
      <alignment horizontal="center"/>
    </xf>
    <xf numFmtId="170" fontId="20" fillId="30" borderId="72" xfId="0" applyNumberFormat="1" applyFont="1" applyFill="1" applyBorder="1" applyAlignment="1">
      <alignment horizontal="center"/>
    </xf>
    <xf numFmtId="170" fontId="20" fillId="30" borderId="46" xfId="0" applyNumberFormat="1" applyFont="1" applyFill="1" applyBorder="1" applyAlignment="1">
      <alignment horizontal="center"/>
    </xf>
    <xf numFmtId="0" fontId="20" fillId="30" borderId="54" xfId="0" applyFont="1" applyFill="1" applyBorder="1" applyAlignment="1">
      <alignment horizontal="center"/>
    </xf>
    <xf numFmtId="166" fontId="19" fillId="0" borderId="53" xfId="29" applyNumberFormat="1" applyFont="1" applyFill="1" applyBorder="1" applyAlignment="1">
      <alignment horizontal="center"/>
    </xf>
    <xf numFmtId="0" fontId="20" fillId="30" borderId="72" xfId="0" applyFont="1" applyFill="1" applyBorder="1" applyAlignment="1">
      <alignment horizontal="center"/>
    </xf>
    <xf numFmtId="0" fontId="20" fillId="30" borderId="46" xfId="0" applyFont="1" applyFill="1" applyBorder="1" applyAlignment="1">
      <alignment horizontal="center"/>
    </xf>
    <xf numFmtId="166" fontId="20" fillId="30" borderId="69" xfId="29" applyNumberFormat="1" applyFont="1" applyFill="1" applyBorder="1" applyAlignment="1">
      <alignment horizontal="center"/>
    </xf>
    <xf numFmtId="166" fontId="20" fillId="30" borderId="61" xfId="29" applyNumberFormat="1" applyFont="1" applyFill="1" applyBorder="1" applyAlignment="1">
      <alignment horizontal="center"/>
    </xf>
    <xf numFmtId="3" fontId="31" fillId="30" borderId="69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31" fillId="30" borderId="61" xfId="0" quotePrefix="1" applyNumberFormat="1" applyFont="1" applyFill="1" applyBorder="1" applyAlignment="1" applyProtection="1">
      <alignment horizontal="right" vertical="top" wrapText="1" readingOrder="1"/>
      <protection locked="0"/>
    </xf>
    <xf numFmtId="166" fontId="20" fillId="30" borderId="54" xfId="29" quotePrefix="1" applyNumberFormat="1" applyFont="1" applyFill="1" applyBorder="1" applyAlignment="1">
      <alignment horizontal="center"/>
    </xf>
    <xf numFmtId="3" fontId="27" fillId="30" borderId="53" xfId="0" applyNumberFormat="1" applyFont="1" applyFill="1" applyBorder="1" applyAlignment="1" applyProtection="1">
      <alignment horizontal="right" vertical="top" wrapText="1" readingOrder="1"/>
      <protection locked="0"/>
    </xf>
    <xf numFmtId="15" fontId="25" fillId="30" borderId="53" xfId="0" applyNumberFormat="1" applyFont="1" applyFill="1" applyBorder="1" applyAlignment="1">
      <alignment horizontal="center"/>
    </xf>
    <xf numFmtId="0" fontId="25" fillId="30" borderId="69" xfId="0" applyFont="1" applyFill="1" applyBorder="1" applyAlignment="1">
      <alignment horizontal="center"/>
    </xf>
    <xf numFmtId="0" fontId="25" fillId="30" borderId="69" xfId="0" applyFont="1" applyFill="1" applyBorder="1" applyAlignment="1">
      <alignment vertical="center"/>
    </xf>
    <xf numFmtId="15" fontId="25" fillId="30" borderId="69" xfId="0" applyNumberFormat="1" applyFont="1" applyFill="1" applyBorder="1" applyAlignment="1">
      <alignment horizontal="center" vertical="center"/>
    </xf>
    <xf numFmtId="167" fontId="25" fillId="30" borderId="53" xfId="41" applyNumberFormat="1" applyFont="1" applyFill="1" applyBorder="1" applyAlignment="1">
      <alignment horizontal="center" vertical="center" wrapText="1"/>
    </xf>
    <xf numFmtId="167" fontId="25" fillId="30" borderId="69" xfId="41" applyNumberFormat="1" applyFont="1" applyFill="1" applyBorder="1" applyAlignment="1">
      <alignment horizontal="center" vertical="center"/>
    </xf>
    <xf numFmtId="167" fontId="25" fillId="30" borderId="53" xfId="0" applyNumberFormat="1" applyFont="1" applyFill="1" applyBorder="1" applyAlignment="1">
      <alignment horizontal="center" vertical="center"/>
    </xf>
    <xf numFmtId="164" fontId="25" fillId="30" borderId="53" xfId="29" quotePrefix="1" applyFont="1" applyFill="1" applyBorder="1" applyAlignment="1">
      <alignment vertical="center"/>
    </xf>
    <xf numFmtId="0" fontId="24" fillId="30" borderId="54" xfId="0" applyFont="1" applyFill="1" applyBorder="1"/>
    <xf numFmtId="15" fontId="20" fillId="30" borderId="54" xfId="0" applyNumberFormat="1" applyFont="1" applyFill="1" applyBorder="1" applyAlignment="1">
      <alignment horizontal="center"/>
    </xf>
    <xf numFmtId="167" fontId="20" fillId="30" borderId="54" xfId="41" applyNumberFormat="1" applyFont="1" applyFill="1" applyBorder="1" applyAlignment="1">
      <alignment horizontal="center"/>
    </xf>
    <xf numFmtId="167" fontId="20" fillId="30" borderId="54" xfId="0" applyNumberFormat="1" applyFont="1" applyFill="1" applyBorder="1" applyAlignment="1">
      <alignment horizontal="center"/>
    </xf>
    <xf numFmtId="164" fontId="20" fillId="30" borderId="54" xfId="29" quotePrefix="1" applyFont="1" applyFill="1" applyBorder="1" applyAlignment="1">
      <alignment horizontal="right"/>
    </xf>
    <xf numFmtId="164" fontId="25" fillId="30" borderId="72" xfId="29" quotePrefix="1" applyFont="1" applyFill="1" applyBorder="1" applyAlignment="1">
      <alignment vertical="center"/>
    </xf>
    <xf numFmtId="164" fontId="20" fillId="30" borderId="46" xfId="29" quotePrefix="1" applyFont="1" applyFill="1" applyBorder="1" applyAlignment="1">
      <alignment horizontal="right"/>
    </xf>
    <xf numFmtId="170" fontId="20" fillId="30" borderId="68" xfId="0" applyNumberFormat="1" applyFont="1" applyFill="1" applyBorder="1" applyAlignment="1">
      <alignment horizontal="center"/>
    </xf>
    <xf numFmtId="170" fontId="20" fillId="30" borderId="35" xfId="0" applyNumberFormat="1" applyFont="1" applyFill="1" applyBorder="1" applyAlignment="1">
      <alignment horizontal="center"/>
    </xf>
    <xf numFmtId="0" fontId="20" fillId="30" borderId="68" xfId="0" applyFont="1" applyFill="1" applyBorder="1" applyAlignment="1">
      <alignment horizontal="center"/>
    </xf>
    <xf numFmtId="0" fontId="20" fillId="30" borderId="35" xfId="0" applyFont="1" applyFill="1" applyBorder="1" applyAlignment="1">
      <alignment horizontal="center"/>
    </xf>
    <xf numFmtId="15" fontId="20" fillId="30" borderId="53" xfId="0" applyNumberFormat="1" applyFont="1" applyFill="1" applyBorder="1" applyAlignment="1">
      <alignment horizontal="center"/>
    </xf>
    <xf numFmtId="167" fontId="20" fillId="30" borderId="54" xfId="41" quotePrefix="1" applyNumberFormat="1" applyFont="1" applyFill="1" applyBorder="1" applyAlignment="1">
      <alignment horizontal="center"/>
    </xf>
    <xf numFmtId="3" fontId="31" fillId="30" borderId="54" xfId="0" quotePrefix="1" applyNumberFormat="1" applyFont="1" applyFill="1" applyBorder="1" applyAlignment="1" applyProtection="1">
      <alignment horizontal="right" vertical="top" wrapText="1" readingOrder="1"/>
      <protection locked="0"/>
    </xf>
    <xf numFmtId="15" fontId="20" fillId="30" borderId="69" xfId="0" applyNumberFormat="1" applyFont="1" applyFill="1" applyBorder="1" applyAlignment="1">
      <alignment horizontal="center"/>
    </xf>
    <xf numFmtId="15" fontId="20" fillId="30" borderId="61" xfId="0" applyNumberFormat="1" applyFont="1" applyFill="1" applyBorder="1" applyAlignment="1">
      <alignment horizontal="center"/>
    </xf>
    <xf numFmtId="164" fontId="19" fillId="30" borderId="20" xfId="29" quotePrefix="1" applyFont="1" applyFill="1" applyBorder="1" applyAlignment="1"/>
    <xf numFmtId="166" fontId="19" fillId="30" borderId="61" xfId="29" applyNumberFormat="1" applyFont="1" applyFill="1" applyBorder="1" applyAlignment="1">
      <alignment horizontal="center"/>
    </xf>
    <xf numFmtId="169" fontId="20" fillId="0" borderId="27" xfId="0" applyNumberFormat="1" applyFont="1" applyBorder="1" applyAlignment="1">
      <alignment horizontal="center" vertical="center" wrapText="1"/>
    </xf>
    <xf numFmtId="169" fontId="20" fillId="0" borderId="23" xfId="0" applyNumberFormat="1" applyFont="1" applyBorder="1" applyAlignment="1">
      <alignment horizontal="center" vertical="center" wrapText="1"/>
    </xf>
    <xf numFmtId="169" fontId="20" fillId="0" borderId="26" xfId="0" applyNumberFormat="1" applyFont="1" applyBorder="1" applyAlignment="1">
      <alignment horizontal="center" vertical="center" wrapText="1"/>
    </xf>
    <xf numFmtId="169" fontId="20" fillId="0" borderId="15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left"/>
    </xf>
    <xf numFmtId="0" fontId="20" fillId="0" borderId="45" xfId="0" applyFont="1" applyBorder="1" applyAlignment="1">
      <alignment horizontal="left"/>
    </xf>
    <xf numFmtId="0" fontId="19" fillId="30" borderId="24" xfId="0" applyFont="1" applyFill="1" applyBorder="1" applyAlignment="1">
      <alignment horizontal="center"/>
    </xf>
    <xf numFmtId="0" fontId="19" fillId="30" borderId="35" xfId="0" applyFont="1" applyFill="1" applyBorder="1" applyAlignment="1">
      <alignment horizontal="center"/>
    </xf>
    <xf numFmtId="0" fontId="19" fillId="30" borderId="20" xfId="0" applyFont="1" applyFill="1" applyBorder="1" applyAlignment="1">
      <alignment horizontal="center"/>
    </xf>
    <xf numFmtId="0" fontId="19" fillId="30" borderId="45" xfId="0" applyFont="1" applyFill="1" applyBorder="1" applyAlignment="1">
      <alignment horizontal="center"/>
    </xf>
    <xf numFmtId="16" fontId="19" fillId="0" borderId="24" xfId="0" applyNumberFormat="1" applyFont="1" applyBorder="1" applyAlignment="1">
      <alignment horizontal="center"/>
    </xf>
    <xf numFmtId="16" fontId="19" fillId="0" borderId="20" xfId="0" applyNumberFormat="1" applyFont="1" applyBorder="1" applyAlignment="1">
      <alignment horizontal="center"/>
    </xf>
    <xf numFmtId="16" fontId="19" fillId="0" borderId="45" xfId="0" applyNumberFormat="1" applyFont="1" applyBorder="1" applyAlignment="1">
      <alignment horizontal="center"/>
    </xf>
    <xf numFmtId="0" fontId="19" fillId="0" borderId="46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35" xfId="0" applyFont="1" applyBorder="1" applyAlignment="1">
      <alignment horizontal="center"/>
    </xf>
    <xf numFmtId="0" fontId="19" fillId="0" borderId="61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9" xfId="0" applyFont="1" applyBorder="1" applyAlignment="1">
      <alignment horizontal="center"/>
    </xf>
    <xf numFmtId="0" fontId="19" fillId="0" borderId="60" xfId="0" applyFont="1" applyBorder="1" applyAlignment="1">
      <alignment horizontal="center"/>
    </xf>
    <xf numFmtId="0" fontId="19" fillId="30" borderId="46" xfId="0" applyFont="1" applyFill="1" applyBorder="1" applyAlignment="1">
      <alignment horizontal="center"/>
    </xf>
    <xf numFmtId="0" fontId="19" fillId="30" borderId="0" xfId="0" applyFont="1" applyFill="1" applyAlignment="1">
      <alignment horizontal="center"/>
    </xf>
    <xf numFmtId="0" fontId="19" fillId="30" borderId="61" xfId="0" applyFont="1" applyFill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9" fillId="30" borderId="68" xfId="0" applyFont="1" applyFill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45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9" fillId="0" borderId="50" xfId="0" applyFont="1" applyBorder="1" applyAlignment="1">
      <alignment horizontal="center"/>
    </xf>
    <xf numFmtId="0" fontId="19" fillId="0" borderId="51" xfId="0" applyFont="1" applyBorder="1" applyAlignment="1">
      <alignment horizontal="center"/>
    </xf>
    <xf numFmtId="0" fontId="20" fillId="0" borderId="35" xfId="0" applyFont="1" applyBorder="1" applyAlignment="1">
      <alignment horizontal="right"/>
    </xf>
    <xf numFmtId="0" fontId="26" fillId="0" borderId="24" xfId="0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6" fillId="0" borderId="45" xfId="0" applyFont="1" applyBorder="1" applyAlignment="1">
      <alignment horizontal="center"/>
    </xf>
    <xf numFmtId="0" fontId="26" fillId="30" borderId="24" xfId="0" applyFont="1" applyFill="1" applyBorder="1" applyAlignment="1">
      <alignment horizontal="center"/>
    </xf>
    <xf numFmtId="0" fontId="26" fillId="30" borderId="20" xfId="0" applyFont="1" applyFill="1" applyBorder="1" applyAlignment="1">
      <alignment horizontal="center"/>
    </xf>
    <xf numFmtId="0" fontId="26" fillId="30" borderId="45" xfId="0" applyFont="1" applyFill="1" applyBorder="1" applyAlignment="1">
      <alignment horizontal="center"/>
    </xf>
    <xf numFmtId="0" fontId="19" fillId="0" borderId="22" xfId="0" applyFont="1" applyBorder="1" applyAlignment="1">
      <alignment horizontal="center"/>
    </xf>
    <xf numFmtId="16" fontId="19" fillId="0" borderId="68" xfId="0" applyNumberFormat="1" applyFont="1" applyBorder="1" applyAlignment="1">
      <alignment horizontal="center"/>
    </xf>
    <xf numFmtId="0" fontId="19" fillId="0" borderId="68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19" fillId="30" borderId="72" xfId="0" applyFont="1" applyFill="1" applyBorder="1" applyAlignment="1">
      <alignment horizontal="center"/>
    </xf>
    <xf numFmtId="0" fontId="19" fillId="30" borderId="69" xfId="0" applyFont="1" applyFill="1" applyBorder="1" applyAlignment="1">
      <alignment horizontal="center"/>
    </xf>
    <xf numFmtId="0" fontId="19" fillId="0" borderId="72" xfId="0" applyFont="1" applyBorder="1" applyAlignment="1">
      <alignment horizontal="center"/>
    </xf>
    <xf numFmtId="0" fontId="19" fillId="0" borderId="69" xfId="0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[0]" xfId="29" builtinId="6"/>
    <cellStyle name="Comma [0] 2" xfId="45" xr:uid="{00000000-0005-0000-0000-00001D000000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46" xr:uid="{00000000-0005-0000-0000-000028000000}"/>
    <cellStyle name="Normal 2 2" xfId="47" xr:uid="{00000000-0005-0000-0000-000029000000}"/>
    <cellStyle name="Normal 4" xfId="48" xr:uid="{00000000-0005-0000-0000-00002A000000}"/>
    <cellStyle name="Note" xfId="39" builtinId="10" customBuiltin="1"/>
    <cellStyle name="Output" xfId="40" builtinId="21" customBuiltin="1"/>
    <cellStyle name="Percent" xfId="41" builtinId="5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colors>
    <mruColors>
      <color rgb="FF6600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mon22c2/1bonds_job/debtproject/Apr03/Cash_Balance_update_6Feb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mon22c2/1bonds_job/Documents%20and%20Settings/Administrator/My%20Documents/Yield%20Curve%20Bulanan%20Januari-Jul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mon22c2/RATING-AGENC/Documents%20and%20Settings/Administrator/My%20Documents/Yield%20Curve%20Bulanan%20Januari-Jul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BB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d Da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d 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59"/>
  <sheetViews>
    <sheetView showGridLines="0" view="pageBreakPreview" zoomScaleSheetLayoutView="100" workbookViewId="0">
      <pane xSplit="3" ySplit="3" topLeftCell="L226" activePane="bottomRight" state="frozen"/>
      <selection pane="topRight" activeCell="D1" sqref="D1"/>
      <selection pane="bottomLeft" activeCell="A4" sqref="A4"/>
      <selection pane="bottomRight" activeCell="A5" sqref="A5:O10"/>
    </sheetView>
  </sheetViews>
  <sheetFormatPr defaultColWidth="9.28515625" defaultRowHeight="11.25" x14ac:dyDescent="0.2"/>
  <cols>
    <col min="1" max="2" width="11.28515625" style="2" customWidth="1"/>
    <col min="3" max="3" width="20.7109375" style="2" customWidth="1"/>
    <col min="4" max="4" width="11.28515625" style="2" customWidth="1"/>
    <col min="5" max="9" width="10.7109375" style="2" customWidth="1"/>
    <col min="10" max="11" width="10.28515625" style="2" customWidth="1"/>
    <col min="12" max="12" width="13.42578125" style="2" bestFit="1" customWidth="1"/>
    <col min="13" max="13" width="18.28515625" style="2" bestFit="1" customWidth="1"/>
    <col min="14" max="14" width="16.7109375" style="2" customWidth="1"/>
    <col min="15" max="15" width="16" style="2" bestFit="1" customWidth="1"/>
    <col min="16" max="16" width="10.7109375" style="2" customWidth="1"/>
    <col min="17" max="17" width="11.42578125" style="2" bestFit="1" customWidth="1"/>
    <col min="18" max="18" width="10" style="2" customWidth="1"/>
    <col min="19" max="20" width="12" style="2" bestFit="1" customWidth="1"/>
    <col min="21" max="24" width="9.28515625" style="2"/>
    <col min="25" max="26" width="10.7109375" style="2" bestFit="1" customWidth="1"/>
    <col min="27" max="28" width="9.7109375" style="2" bestFit="1" customWidth="1"/>
    <col min="29" max="16384" width="9.28515625" style="2"/>
  </cols>
  <sheetData>
    <row r="1" spans="1:28" x14ac:dyDescent="0.2">
      <c r="A1" s="1" t="s">
        <v>44</v>
      </c>
      <c r="B1" s="1"/>
    </row>
    <row r="3" spans="1:28" ht="33.75" x14ac:dyDescent="0.2">
      <c r="A3" s="61" t="s">
        <v>0</v>
      </c>
      <c r="B3" s="3" t="s">
        <v>1</v>
      </c>
      <c r="C3" s="4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3" t="s">
        <v>9</v>
      </c>
      <c r="K3" s="3" t="s">
        <v>10</v>
      </c>
      <c r="L3" s="3" t="s">
        <v>11</v>
      </c>
      <c r="M3" s="4" t="s">
        <v>12</v>
      </c>
      <c r="N3" s="3" t="s">
        <v>13</v>
      </c>
      <c r="O3" s="3" t="s">
        <v>14</v>
      </c>
      <c r="P3" s="5" t="s">
        <v>15</v>
      </c>
      <c r="Q3" s="4" t="s">
        <v>16</v>
      </c>
      <c r="R3" s="51"/>
    </row>
    <row r="4" spans="1:28" ht="9.75" customHeight="1" x14ac:dyDescent="0.2">
      <c r="A4" s="6"/>
      <c r="B4" s="7"/>
      <c r="C4" s="8"/>
      <c r="D4" s="9"/>
      <c r="E4" s="10"/>
      <c r="F4" s="10"/>
      <c r="G4" s="10"/>
      <c r="H4" s="10"/>
      <c r="I4" s="10"/>
      <c r="J4" s="11"/>
      <c r="K4" s="12"/>
      <c r="L4" s="13"/>
      <c r="M4" s="14"/>
      <c r="N4" s="13"/>
      <c r="O4" s="13"/>
      <c r="P4" s="15"/>
      <c r="Q4" s="14"/>
      <c r="R4" s="52"/>
    </row>
    <row r="5" spans="1:28" ht="13.5" customHeight="1" x14ac:dyDescent="0.2">
      <c r="A5" s="16">
        <v>2012</v>
      </c>
      <c r="B5" s="1"/>
      <c r="C5" s="17"/>
      <c r="D5" s="18"/>
      <c r="E5" s="19"/>
      <c r="F5" s="19"/>
      <c r="G5" s="19"/>
      <c r="H5" s="19"/>
      <c r="I5" s="19"/>
      <c r="J5" s="20"/>
      <c r="K5" s="20"/>
      <c r="L5" s="21"/>
      <c r="M5" s="22"/>
      <c r="N5" s="23"/>
      <c r="O5" s="21"/>
      <c r="P5" s="24"/>
      <c r="Q5" s="25"/>
      <c r="R5" s="53"/>
    </row>
    <row r="6" spans="1:28" ht="13.5" customHeight="1" x14ac:dyDescent="0.2">
      <c r="A6" s="58">
        <v>40918</v>
      </c>
      <c r="B6" s="59">
        <v>40920</v>
      </c>
      <c r="C6" s="17" t="s">
        <v>38</v>
      </c>
      <c r="D6" s="18">
        <v>41010</v>
      </c>
      <c r="E6" s="48">
        <v>0</v>
      </c>
      <c r="F6" s="26">
        <v>3.8124999999999999E-2</v>
      </c>
      <c r="G6" s="26">
        <v>4.2510300000000001E-2</v>
      </c>
      <c r="H6" s="26">
        <v>4.6249999999999999E-2</v>
      </c>
      <c r="I6" s="26">
        <v>3.8124999999999999E-2</v>
      </c>
      <c r="J6" s="27">
        <v>3.8699999999999998E-2</v>
      </c>
      <c r="K6" s="27">
        <v>3.9375E-2</v>
      </c>
      <c r="L6" s="21">
        <v>7000000</v>
      </c>
      <c r="M6" s="21">
        <v>5340000</v>
      </c>
      <c r="N6" s="21">
        <v>2100000</v>
      </c>
      <c r="O6" s="21">
        <v>1000000</v>
      </c>
      <c r="P6" s="44">
        <f>M6/O6</f>
        <v>5.34</v>
      </c>
      <c r="Q6" s="54">
        <v>0.04</v>
      </c>
      <c r="R6" s="54"/>
      <c r="S6" s="55">
        <f>O6*J6/$R$10</f>
        <v>39656643.565745413</v>
      </c>
      <c r="T6" s="55"/>
      <c r="Y6" s="38">
        <f>SUM(O6:O127)</f>
        <v>169717805</v>
      </c>
      <c r="Z6" s="38">
        <f>Y6-SUM(O11,O78,O80)</f>
        <v>169717805</v>
      </c>
      <c r="AA6" s="38">
        <f>SUM(O6:O63)</f>
        <v>98372805</v>
      </c>
      <c r="AB6" s="38">
        <f>Z6-AA6</f>
        <v>71345000</v>
      </c>
    </row>
    <row r="7" spans="1:28" ht="13.5" customHeight="1" x14ac:dyDescent="0.2">
      <c r="A7" s="58"/>
      <c r="B7" s="80"/>
      <c r="C7" s="17" t="s">
        <v>37</v>
      </c>
      <c r="D7" s="18">
        <v>41285</v>
      </c>
      <c r="E7" s="48"/>
      <c r="F7" s="26">
        <v>4.2500000000000003E-2</v>
      </c>
      <c r="G7" s="26">
        <v>4.64795E-2</v>
      </c>
      <c r="H7" s="26">
        <v>5.0937499999999997E-2</v>
      </c>
      <c r="I7" s="26">
        <v>4.2500000000000003E-2</v>
      </c>
      <c r="J7" s="27">
        <v>4.4999999999999998E-2</v>
      </c>
      <c r="K7" s="27">
        <v>4.5312499999999999E-2</v>
      </c>
      <c r="L7" s="21"/>
      <c r="M7" s="21">
        <v>8400000</v>
      </c>
      <c r="N7" s="21">
        <v>2350000</v>
      </c>
      <c r="O7" s="21">
        <v>2350000</v>
      </c>
      <c r="P7" s="44">
        <f>M7/O7</f>
        <v>3.5744680851063828</v>
      </c>
      <c r="Q7" s="54">
        <v>4.4999999999999998E-2</v>
      </c>
      <c r="R7" s="54"/>
      <c r="S7" s="55"/>
      <c r="T7" s="55"/>
      <c r="Z7" s="38">
        <v>270419408</v>
      </c>
    </row>
    <row r="8" spans="1:28" ht="13.5" customHeight="1" x14ac:dyDescent="0.2">
      <c r="A8" s="16"/>
      <c r="B8" s="1"/>
      <c r="C8" s="17" t="s">
        <v>34</v>
      </c>
      <c r="D8" s="18">
        <v>42840</v>
      </c>
      <c r="E8" s="26">
        <v>6.25E-2</v>
      </c>
      <c r="F8" s="26">
        <v>5.3749999999999999E-2</v>
      </c>
      <c r="G8" s="26">
        <v>5.5071799999999997E-2</v>
      </c>
      <c r="H8" s="26">
        <v>5.7500000000000002E-2</v>
      </c>
      <c r="I8" s="26">
        <v>5.3749999999999999E-2</v>
      </c>
      <c r="J8" s="27">
        <v>5.4477200000000003E-2</v>
      </c>
      <c r="K8" s="27">
        <v>5.5E-2</v>
      </c>
      <c r="L8" s="21"/>
      <c r="M8" s="21">
        <v>2001000</v>
      </c>
      <c r="N8" s="21">
        <v>800000</v>
      </c>
      <c r="O8" s="21">
        <v>800000</v>
      </c>
      <c r="P8" s="44">
        <f>M8/O8</f>
        <v>2.5012500000000002</v>
      </c>
      <c r="Q8" s="54">
        <v>5.45E-2</v>
      </c>
      <c r="R8" s="54">
        <f>O8*J8/$O$218</f>
        <v>1.6228675337265212E-4</v>
      </c>
      <c r="S8" s="55">
        <f>O8*J8/$R$10</f>
        <v>44659078.095293567</v>
      </c>
      <c r="T8" s="55"/>
      <c r="Z8" s="94">
        <f>Z6/Z7</f>
        <v>0.62760955752110814</v>
      </c>
      <c r="AA8" s="94">
        <f>AA6/Z7</f>
        <v>0.36377864195309534</v>
      </c>
      <c r="AB8" s="94">
        <f>AB6/Z7</f>
        <v>0.2638309155680128</v>
      </c>
    </row>
    <row r="9" spans="1:28" ht="13.5" customHeight="1" x14ac:dyDescent="0.2">
      <c r="A9" s="16"/>
      <c r="B9" s="1"/>
      <c r="C9" s="17" t="s">
        <v>35</v>
      </c>
      <c r="D9" s="18">
        <v>44696</v>
      </c>
      <c r="E9" s="26">
        <v>7.0000000000000007E-2</v>
      </c>
      <c r="F9" s="26">
        <v>6.1874999999999999E-2</v>
      </c>
      <c r="G9" s="26">
        <v>6.2820100000000004E-2</v>
      </c>
      <c r="H9" s="26">
        <v>6.4687499999999995E-2</v>
      </c>
      <c r="I9" s="26">
        <v>6.1874999999999999E-2</v>
      </c>
      <c r="J9" s="27">
        <v>6.2399799999999998E-2</v>
      </c>
      <c r="K9" s="27">
        <v>6.25E-2</v>
      </c>
      <c r="L9" s="21"/>
      <c r="M9" s="21">
        <v>4642000</v>
      </c>
      <c r="N9" s="21">
        <v>2200000</v>
      </c>
      <c r="O9" s="21">
        <v>2200000</v>
      </c>
      <c r="P9" s="44">
        <f>M9/O9</f>
        <v>2.11</v>
      </c>
      <c r="Q9" s="54">
        <v>6.2399999999999997E-2</v>
      </c>
      <c r="R9" s="54">
        <f>O9*J9/$O$218</f>
        <v>5.1119216151037034E-4</v>
      </c>
      <c r="S9" s="55">
        <f>O9*J9/$R$10</f>
        <v>140673038.23727033</v>
      </c>
      <c r="T9" s="55"/>
    </row>
    <row r="10" spans="1:28" ht="13.5" customHeight="1" x14ac:dyDescent="0.2">
      <c r="A10" s="16"/>
      <c r="B10" s="1"/>
      <c r="C10" s="17" t="s">
        <v>32</v>
      </c>
      <c r="D10" s="18">
        <v>48380</v>
      </c>
      <c r="E10" s="26">
        <v>8.2500000000000004E-2</v>
      </c>
      <c r="F10" s="26">
        <v>7.1249999999999994E-2</v>
      </c>
      <c r="G10" s="26">
        <v>7.21778E-2</v>
      </c>
      <c r="H10" s="26">
        <v>7.8125E-2</v>
      </c>
      <c r="I10" s="26">
        <v>7.1249999999999994E-2</v>
      </c>
      <c r="J10" s="27">
        <v>7.17999E-2</v>
      </c>
      <c r="K10" s="27">
        <v>7.2187500000000002E-2</v>
      </c>
      <c r="L10" s="21"/>
      <c r="M10" s="21">
        <v>7286000</v>
      </c>
      <c r="N10" s="21">
        <v>3650000</v>
      </c>
      <c r="O10" s="21">
        <v>3650000</v>
      </c>
      <c r="P10" s="44">
        <f>M10/O10</f>
        <v>1.9961643835616438</v>
      </c>
      <c r="Q10" s="54">
        <v>7.1800000000000003E-2</v>
      </c>
      <c r="R10" s="54">
        <f>O10*J10/$O$218</f>
        <v>9.7587683979963086E-4</v>
      </c>
      <c r="S10" s="55">
        <f>O10*J10/$R$10</f>
        <v>268547858</v>
      </c>
      <c r="T10" s="60">
        <f>SUM(S6:S10)</f>
        <v>493536617.89830929</v>
      </c>
    </row>
    <row r="11" spans="1:28" ht="13.5" customHeight="1" x14ac:dyDescent="0.2">
      <c r="A11" s="68">
        <v>40918</v>
      </c>
      <c r="B11" s="66">
        <v>40925</v>
      </c>
      <c r="C11" s="69" t="s">
        <v>39</v>
      </c>
      <c r="D11" s="70">
        <v>51883</v>
      </c>
      <c r="E11" s="71">
        <v>5.2499999999999998E-2</v>
      </c>
      <c r="F11" s="72"/>
      <c r="G11" s="72"/>
      <c r="H11" s="72"/>
      <c r="I11" s="72"/>
      <c r="J11" s="73"/>
      <c r="K11" s="73"/>
      <c r="L11" s="74">
        <v>22630000</v>
      </c>
      <c r="M11" s="75" t="s">
        <v>41</v>
      </c>
      <c r="N11" s="75" t="s">
        <v>40</v>
      </c>
      <c r="O11" s="75" t="s">
        <v>40</v>
      </c>
      <c r="P11" s="76"/>
      <c r="Q11" s="77"/>
      <c r="R11" s="54"/>
      <c r="U11" s="2">
        <f>3600*U12</f>
        <v>32976000</v>
      </c>
      <c r="V11" s="2">
        <f>U12*1750</f>
        <v>16030000</v>
      </c>
      <c r="W11" s="2">
        <f>U12*1750</f>
        <v>16030000</v>
      </c>
    </row>
    <row r="12" spans="1:28" ht="13.5" customHeight="1" x14ac:dyDescent="0.2">
      <c r="A12" s="58"/>
      <c r="B12" s="59"/>
      <c r="C12" s="17"/>
      <c r="D12" s="18"/>
      <c r="E12" s="67"/>
      <c r="F12" s="62"/>
      <c r="G12" s="62"/>
      <c r="H12" s="62"/>
      <c r="I12" s="62"/>
      <c r="J12" s="27"/>
      <c r="K12" s="27"/>
      <c r="L12" s="63"/>
      <c r="M12" s="63">
        <f>U11</f>
        <v>32976000</v>
      </c>
      <c r="N12" s="63">
        <f>V11</f>
        <v>16030000</v>
      </c>
      <c r="O12" s="63">
        <f>W11</f>
        <v>16030000</v>
      </c>
      <c r="P12" s="64">
        <f t="shared" ref="P12:P17" si="0">M12/O12</f>
        <v>2.0571428571428569</v>
      </c>
      <c r="Q12" s="65"/>
      <c r="R12" s="54">
        <f>O12*J12/$O$218</f>
        <v>0</v>
      </c>
      <c r="U12" s="2">
        <v>9160</v>
      </c>
      <c r="Y12" s="2">
        <v>2009</v>
      </c>
      <c r="Z12" s="2">
        <v>29.73</v>
      </c>
      <c r="AA12" s="2">
        <v>30.35</v>
      </c>
      <c r="AB12" s="2">
        <f>Z12+AA12</f>
        <v>60.08</v>
      </c>
    </row>
    <row r="13" spans="1:28" ht="13.5" customHeight="1" x14ac:dyDescent="0.2">
      <c r="A13" s="81">
        <v>40934</v>
      </c>
      <c r="B13" s="82">
        <v>40938</v>
      </c>
      <c r="C13" s="83" t="s">
        <v>42</v>
      </c>
      <c r="D13" s="84">
        <v>41028</v>
      </c>
      <c r="E13" s="85">
        <v>0</v>
      </c>
      <c r="F13" s="86">
        <v>1.7500000000000002E-2</v>
      </c>
      <c r="G13" s="86">
        <v>2.8961600000000001E-2</v>
      </c>
      <c r="H13" s="86">
        <v>4.6875E-2</v>
      </c>
      <c r="I13" s="86">
        <v>1.7500000000000002E-2</v>
      </c>
      <c r="J13" s="87">
        <v>1.92383E-2</v>
      </c>
      <c r="K13" s="87">
        <v>2.1874999999999999E-2</v>
      </c>
      <c r="L13" s="88">
        <v>7000000</v>
      </c>
      <c r="M13" s="88">
        <v>12480000</v>
      </c>
      <c r="N13" s="88">
        <v>10550000</v>
      </c>
      <c r="O13" s="88">
        <v>800000</v>
      </c>
      <c r="P13" s="89">
        <f t="shared" si="0"/>
        <v>15.6</v>
      </c>
      <c r="Q13" s="90">
        <v>2.75E-2</v>
      </c>
      <c r="R13" s="54"/>
      <c r="S13" s="55">
        <f>O13*J13/$R$10</f>
        <v>15771088.494281758</v>
      </c>
      <c r="T13" s="55"/>
      <c r="Y13" s="2">
        <v>2010</v>
      </c>
      <c r="Z13" s="2">
        <v>34.630000000000003</v>
      </c>
      <c r="AA13" s="2">
        <v>35.58</v>
      </c>
      <c r="AB13" s="2">
        <f>Z13+AA13</f>
        <v>70.210000000000008</v>
      </c>
    </row>
    <row r="14" spans="1:28" ht="13.5" customHeight="1" x14ac:dyDescent="0.2">
      <c r="A14" s="92"/>
      <c r="B14" s="91"/>
      <c r="C14" s="83" t="s">
        <v>37</v>
      </c>
      <c r="D14" s="84">
        <v>41285</v>
      </c>
      <c r="E14" s="85">
        <v>0</v>
      </c>
      <c r="F14" s="86">
        <v>3.3750000000000002E-2</v>
      </c>
      <c r="G14" s="86">
        <v>3.8882899999999998E-2</v>
      </c>
      <c r="H14" s="86">
        <v>4.2500000000000003E-2</v>
      </c>
      <c r="I14" s="86">
        <v>3.3750000000000002E-2</v>
      </c>
      <c r="J14" s="87">
        <v>3.3750000000000002E-2</v>
      </c>
      <c r="K14" s="87">
        <v>3.3750000000000002E-2</v>
      </c>
      <c r="L14" s="88"/>
      <c r="M14" s="88">
        <v>12295000</v>
      </c>
      <c r="N14" s="88">
        <v>2000000</v>
      </c>
      <c r="O14" s="88">
        <v>1000000</v>
      </c>
      <c r="P14" s="89">
        <f t="shared" si="0"/>
        <v>12.295</v>
      </c>
      <c r="Q14" s="90">
        <v>3.5000000000000003E-2</v>
      </c>
      <c r="R14" s="54"/>
      <c r="S14" s="55"/>
      <c r="T14" s="55"/>
      <c r="Y14" s="2">
        <v>2011</v>
      </c>
      <c r="Z14" s="2">
        <v>29.53</v>
      </c>
      <c r="AA14" s="2">
        <v>25.94</v>
      </c>
      <c r="AB14" s="2">
        <f>Z14+AA14</f>
        <v>55.47</v>
      </c>
    </row>
    <row r="15" spans="1:28" ht="13.5" customHeight="1" x14ac:dyDescent="0.2">
      <c r="A15" s="92"/>
      <c r="B15" s="93"/>
      <c r="C15" s="83" t="s">
        <v>35</v>
      </c>
      <c r="D15" s="84">
        <v>44696</v>
      </c>
      <c r="E15" s="86">
        <v>7.0000000000000007E-2</v>
      </c>
      <c r="F15" s="86">
        <v>5.5E-2</v>
      </c>
      <c r="G15" s="86">
        <v>5.6320200000000001E-2</v>
      </c>
      <c r="H15" s="86">
        <v>5.7500000000000002E-2</v>
      </c>
      <c r="I15" s="86">
        <v>5.5E-2</v>
      </c>
      <c r="J15" s="87">
        <v>5.5782100000000001E-2</v>
      </c>
      <c r="K15" s="87">
        <v>5.5937500000000001E-2</v>
      </c>
      <c r="L15" s="88"/>
      <c r="M15" s="88">
        <v>6109000</v>
      </c>
      <c r="N15" s="88">
        <v>3600000</v>
      </c>
      <c r="O15" s="88">
        <v>2100000</v>
      </c>
      <c r="P15" s="89">
        <f t="shared" si="0"/>
        <v>2.9090476190476191</v>
      </c>
      <c r="Q15" s="90">
        <v>5.6000000000000001E-2</v>
      </c>
      <c r="R15" s="54">
        <f>O15*J15/$O$218</f>
        <v>4.3620683059032256E-4</v>
      </c>
      <c r="S15" s="55">
        <f>O15*J15/$R$10</f>
        <v>120038108.52202614</v>
      </c>
      <c r="T15" s="55"/>
      <c r="Y15" s="2">
        <v>2012</v>
      </c>
      <c r="AB15" s="2">
        <v>62.76</v>
      </c>
    </row>
    <row r="16" spans="1:28" ht="13.5" customHeight="1" x14ac:dyDescent="0.2">
      <c r="A16" s="92"/>
      <c r="B16" s="93"/>
      <c r="C16" s="83" t="s">
        <v>43</v>
      </c>
      <c r="D16" s="84">
        <v>46522</v>
      </c>
      <c r="E16" s="86">
        <v>7.0000000000000007E-2</v>
      </c>
      <c r="F16" s="86">
        <v>6.1249999999999999E-2</v>
      </c>
      <c r="G16" s="86">
        <v>6.2487399999999999E-2</v>
      </c>
      <c r="H16" s="86">
        <v>6.4687499999999995E-2</v>
      </c>
      <c r="I16" s="86">
        <v>6.1249999999999999E-2</v>
      </c>
      <c r="J16" s="87">
        <v>6.1973399999999998E-2</v>
      </c>
      <c r="K16" s="87">
        <v>6.25E-2</v>
      </c>
      <c r="L16" s="88"/>
      <c r="M16" s="88">
        <v>7421000</v>
      </c>
      <c r="N16" s="88">
        <v>3550000</v>
      </c>
      <c r="O16" s="88">
        <v>3400000</v>
      </c>
      <c r="P16" s="89">
        <f t="shared" si="0"/>
        <v>2.1826470588235294</v>
      </c>
      <c r="Q16" s="90">
        <v>6.2E-2</v>
      </c>
      <c r="R16" s="54">
        <f>O16*J16/$O$218</f>
        <v>7.8462573326501821E-4</v>
      </c>
      <c r="S16" s="55">
        <f>O16*J16/$R$10</f>
        <v>215918189.06498832</v>
      </c>
      <c r="T16" s="55"/>
      <c r="Y16" s="2">
        <v>2013</v>
      </c>
      <c r="AB16" s="2">
        <f>AVERAGE(AB12:AB15)</f>
        <v>62.13</v>
      </c>
    </row>
    <row r="17" spans="1:20" ht="13.5" customHeight="1" x14ac:dyDescent="0.2">
      <c r="A17" s="92"/>
      <c r="B17" s="93"/>
      <c r="C17" s="83" t="s">
        <v>32</v>
      </c>
      <c r="D17" s="84">
        <v>48380</v>
      </c>
      <c r="E17" s="86">
        <v>8.2500000000000004E-2</v>
      </c>
      <c r="F17" s="86">
        <v>5.7500000000000002E-2</v>
      </c>
      <c r="G17" s="86">
        <v>6.7082199999999995E-2</v>
      </c>
      <c r="H17" s="86">
        <v>6.8750000000000006E-2</v>
      </c>
      <c r="I17" s="86">
        <v>5.7500000000000002E-2</v>
      </c>
      <c r="J17" s="87">
        <v>6.64907E-2</v>
      </c>
      <c r="K17" s="87">
        <v>6.6562499999999997E-2</v>
      </c>
      <c r="L17" s="88"/>
      <c r="M17" s="88">
        <v>11829500</v>
      </c>
      <c r="N17" s="88">
        <v>5300000</v>
      </c>
      <c r="O17" s="88">
        <v>3200000</v>
      </c>
      <c r="P17" s="89">
        <f t="shared" si="0"/>
        <v>3.6967187500000001</v>
      </c>
      <c r="Q17" s="90">
        <v>6.6600000000000006E-2</v>
      </c>
      <c r="R17" s="54">
        <f>O17*J17/$O$218</f>
        <v>7.9229915138626799E-4</v>
      </c>
      <c r="S17" s="55">
        <f>O17*J17/$R$10</f>
        <v>218029807.98651439</v>
      </c>
      <c r="T17" s="60">
        <f>SUM(S13:S17)</f>
        <v>569757194.06781054</v>
      </c>
    </row>
    <row r="18" spans="1:20" ht="13.5" customHeight="1" x14ac:dyDescent="0.2">
      <c r="A18" s="58">
        <v>40939</v>
      </c>
      <c r="B18" s="59">
        <v>40941</v>
      </c>
      <c r="C18" s="17" t="s">
        <v>48</v>
      </c>
      <c r="D18" s="18">
        <v>43115</v>
      </c>
      <c r="E18" s="48">
        <v>0</v>
      </c>
      <c r="F18" s="26">
        <v>5.1874999999999998E-2</v>
      </c>
      <c r="G18" s="26"/>
      <c r="H18" s="26">
        <v>6.6250000000000003E-2</v>
      </c>
      <c r="I18" s="26"/>
      <c r="J18" s="27"/>
      <c r="K18" s="27"/>
      <c r="L18" s="21">
        <v>1000000</v>
      </c>
      <c r="M18" s="21">
        <v>573000</v>
      </c>
      <c r="N18" s="21"/>
      <c r="O18" s="21"/>
      <c r="P18" s="44"/>
      <c r="Q18" s="54"/>
      <c r="R18" s="54"/>
      <c r="S18" s="55">
        <f>O18*J18/$R$10</f>
        <v>0</v>
      </c>
      <c r="T18" s="55"/>
    </row>
    <row r="19" spans="1:20" ht="13.5" customHeight="1" x14ac:dyDescent="0.2">
      <c r="A19" s="58"/>
      <c r="B19" s="80"/>
      <c r="C19" s="17" t="s">
        <v>49</v>
      </c>
      <c r="D19" s="18">
        <v>44576</v>
      </c>
      <c r="E19" s="48"/>
      <c r="F19" s="26">
        <v>5.5E-2</v>
      </c>
      <c r="G19" s="26"/>
      <c r="H19" s="26">
        <v>6.5000000000000002E-2</v>
      </c>
      <c r="I19" s="26">
        <v>5.5E-2</v>
      </c>
      <c r="J19" s="27">
        <v>5.5379499999999998E-2</v>
      </c>
      <c r="K19" s="27"/>
      <c r="L19" s="21"/>
      <c r="M19" s="21">
        <v>536000</v>
      </c>
      <c r="N19" s="21">
        <v>415000</v>
      </c>
      <c r="O19" s="21">
        <v>415000</v>
      </c>
      <c r="P19" s="44">
        <f t="shared" ref="P19:P26" si="1">M19/O19</f>
        <v>1.2915662650602409</v>
      </c>
      <c r="Q19" s="54"/>
      <c r="R19" s="54"/>
      <c r="S19" s="55"/>
      <c r="T19" s="55"/>
    </row>
    <row r="20" spans="1:20" ht="13.5" customHeight="1" x14ac:dyDescent="0.2">
      <c r="A20" s="16"/>
      <c r="B20" s="1"/>
      <c r="C20" s="17" t="s">
        <v>50</v>
      </c>
      <c r="D20" s="18">
        <v>46402</v>
      </c>
      <c r="E20" s="26"/>
      <c r="F20" s="26">
        <v>6.0624999999999998E-2</v>
      </c>
      <c r="G20" s="26"/>
      <c r="H20" s="26">
        <v>7.0624999999999993E-2</v>
      </c>
      <c r="I20" s="26">
        <v>6.0624999999999998E-2</v>
      </c>
      <c r="J20" s="27">
        <v>6.2141200000000001E-2</v>
      </c>
      <c r="K20" s="27"/>
      <c r="L20" s="21"/>
      <c r="M20" s="21">
        <v>1391000</v>
      </c>
      <c r="N20" s="21">
        <v>510000</v>
      </c>
      <c r="O20" s="21">
        <v>510000</v>
      </c>
      <c r="P20" s="44">
        <f t="shared" si="1"/>
        <v>2.7274509803921569</v>
      </c>
      <c r="Q20" s="54"/>
      <c r="R20" s="54">
        <f>O20*J20/$O$218</f>
        <v>1.1801252944642738E-4</v>
      </c>
      <c r="S20" s="55">
        <f>O20*J20/$R$10</f>
        <v>32475421.802721612</v>
      </c>
      <c r="T20" s="55"/>
    </row>
    <row r="21" spans="1:20" ht="13.5" customHeight="1" x14ac:dyDescent="0.2">
      <c r="A21" s="16"/>
      <c r="B21" s="1"/>
      <c r="C21" s="17" t="s">
        <v>51</v>
      </c>
      <c r="D21" s="18">
        <v>49720</v>
      </c>
      <c r="E21" s="26">
        <v>0.1</v>
      </c>
      <c r="F21" s="26">
        <v>6.5625000000000003E-2</v>
      </c>
      <c r="G21" s="26"/>
      <c r="H21" s="26">
        <v>7.4999999999999997E-2</v>
      </c>
      <c r="I21" s="26">
        <v>6.5625000000000003E-2</v>
      </c>
      <c r="J21" s="27">
        <v>6.8074800000000005E-2</v>
      </c>
      <c r="K21" s="27"/>
      <c r="L21" s="21"/>
      <c r="M21" s="21">
        <v>1676000</v>
      </c>
      <c r="N21" s="21">
        <v>400000</v>
      </c>
      <c r="O21" s="21">
        <v>400000</v>
      </c>
      <c r="P21" s="44">
        <f t="shared" si="1"/>
        <v>4.1900000000000004</v>
      </c>
      <c r="Q21" s="54"/>
      <c r="R21" s="54">
        <f>O21*J21/$O$218</f>
        <v>1.0139689887230455E-4</v>
      </c>
      <c r="S21" s="55">
        <f>O21*J21/$R$10</f>
        <v>27903029.244541667</v>
      </c>
      <c r="T21" s="55"/>
    </row>
    <row r="22" spans="1:20" ht="13.5" customHeight="1" x14ac:dyDescent="0.2">
      <c r="A22" s="81">
        <v>40946</v>
      </c>
      <c r="B22" s="82">
        <v>40948</v>
      </c>
      <c r="C22" s="83" t="s">
        <v>45</v>
      </c>
      <c r="D22" s="84">
        <v>41037</v>
      </c>
      <c r="E22" s="85">
        <v>0</v>
      </c>
      <c r="F22" s="86">
        <v>1.4999999999999999E-2</v>
      </c>
      <c r="G22" s="86">
        <v>1.99528E-2</v>
      </c>
      <c r="H22" s="86">
        <v>3.2500000000000001E-2</v>
      </c>
      <c r="I22" s="86">
        <v>1.4999999999999999E-2</v>
      </c>
      <c r="J22" s="87">
        <v>1.6862499999999999E-2</v>
      </c>
      <c r="K22" s="87">
        <v>1.90625E-2</v>
      </c>
      <c r="L22" s="88">
        <v>8000000</v>
      </c>
      <c r="M22" s="88">
        <v>4535000</v>
      </c>
      <c r="N22" s="88">
        <v>4535000</v>
      </c>
      <c r="O22" s="88">
        <v>1000000</v>
      </c>
      <c r="P22" s="89">
        <f t="shared" si="1"/>
        <v>4.5350000000000001</v>
      </c>
      <c r="Q22" s="90">
        <v>0.02</v>
      </c>
      <c r="R22" s="54"/>
      <c r="S22" s="55">
        <f>O22*J22/$R$10</f>
        <v>17279332.09631478</v>
      </c>
      <c r="T22" s="55"/>
    </row>
    <row r="23" spans="1:20" ht="13.5" customHeight="1" x14ac:dyDescent="0.2">
      <c r="A23" s="92"/>
      <c r="B23" s="91"/>
      <c r="C23" s="83" t="s">
        <v>46</v>
      </c>
      <c r="D23" s="84">
        <v>41313</v>
      </c>
      <c r="E23" s="85">
        <v>0</v>
      </c>
      <c r="F23" s="86">
        <v>0.03</v>
      </c>
      <c r="G23" s="86">
        <v>3.3719499999999999E-2</v>
      </c>
      <c r="H23" s="86">
        <v>4.4374999999999998E-2</v>
      </c>
      <c r="I23" s="86">
        <v>0.03</v>
      </c>
      <c r="J23" s="87">
        <v>3.0232100000000001E-2</v>
      </c>
      <c r="K23" s="87">
        <v>3.125E-2</v>
      </c>
      <c r="L23" s="88"/>
      <c r="M23" s="88">
        <v>6075000</v>
      </c>
      <c r="N23" s="88">
        <v>6075000</v>
      </c>
      <c r="O23" s="88">
        <v>1000000</v>
      </c>
      <c r="P23" s="89">
        <f t="shared" si="1"/>
        <v>6.0750000000000002</v>
      </c>
      <c r="Q23" s="90">
        <v>3.5000000000000003E-2</v>
      </c>
      <c r="R23" s="54"/>
      <c r="S23" s="55"/>
      <c r="T23" s="55"/>
    </row>
    <row r="24" spans="1:20" ht="13.5" customHeight="1" x14ac:dyDescent="0.2">
      <c r="A24" s="92"/>
      <c r="B24" s="93"/>
      <c r="C24" s="83" t="s">
        <v>43</v>
      </c>
      <c r="D24" s="84">
        <v>46522</v>
      </c>
      <c r="E24" s="86">
        <v>7.0000000000000007E-2</v>
      </c>
      <c r="F24" s="86">
        <v>5.6562500000000002E-2</v>
      </c>
      <c r="G24" s="86">
        <v>5.7902200000000001E-2</v>
      </c>
      <c r="H24" s="86">
        <v>5.9062499999999997E-2</v>
      </c>
      <c r="I24" s="86">
        <v>5.6562500000000002E-2</v>
      </c>
      <c r="J24" s="87">
        <v>5.7464300000000003E-2</v>
      </c>
      <c r="K24" s="87">
        <v>5.7500000000000002E-2</v>
      </c>
      <c r="L24" s="88"/>
      <c r="M24" s="88">
        <v>8177000</v>
      </c>
      <c r="N24" s="88">
        <v>4100000</v>
      </c>
      <c r="O24" s="88">
        <v>3450000</v>
      </c>
      <c r="P24" s="89">
        <f t="shared" si="1"/>
        <v>2.3701449275362321</v>
      </c>
      <c r="Q24" s="90">
        <v>5.7500000000000002E-2</v>
      </c>
      <c r="R24" s="54">
        <f>O24*J24/$O$24</f>
        <v>5.7464300000000003E-2</v>
      </c>
      <c r="S24" s="55">
        <f>O24*J24/$R$10</f>
        <v>203152515.68087783</v>
      </c>
      <c r="T24" s="55"/>
    </row>
    <row r="25" spans="1:20" ht="13.5" customHeight="1" x14ac:dyDescent="0.2">
      <c r="A25" s="92"/>
      <c r="B25" s="93"/>
      <c r="C25" s="83" t="s">
        <v>32</v>
      </c>
      <c r="D25" s="84">
        <v>48380</v>
      </c>
      <c r="E25" s="86">
        <v>8.2500000000000004E-2</v>
      </c>
      <c r="F25" s="86">
        <v>6.1249999999999999E-2</v>
      </c>
      <c r="G25" s="86">
        <v>6.2410500000000001E-2</v>
      </c>
      <c r="H25" s="86">
        <v>6.4687499999999995E-2</v>
      </c>
      <c r="I25" s="86">
        <v>6.1249999999999999E-2</v>
      </c>
      <c r="J25" s="87">
        <v>6.1781299999999997E-2</v>
      </c>
      <c r="K25" s="87">
        <v>6.1874999999999999E-2</v>
      </c>
      <c r="L25" s="88"/>
      <c r="M25" s="88">
        <v>9233500</v>
      </c>
      <c r="N25" s="88">
        <v>7350000</v>
      </c>
      <c r="O25" s="88">
        <v>2000000</v>
      </c>
      <c r="P25" s="89">
        <f t="shared" si="1"/>
        <v>4.6167499999999997</v>
      </c>
      <c r="Q25" s="90">
        <v>6.2199999999999998E-2</v>
      </c>
      <c r="R25" s="54">
        <f>O25*J25/$O$24</f>
        <v>3.5815246376811591E-2</v>
      </c>
      <c r="S25" s="55">
        <f>O25*J25/$R$10</f>
        <v>126617002.2288572</v>
      </c>
      <c r="T25" s="55"/>
    </row>
    <row r="26" spans="1:20" ht="13.5" customHeight="1" x14ac:dyDescent="0.2">
      <c r="A26" s="92"/>
      <c r="B26" s="93"/>
      <c r="C26" s="83" t="s">
        <v>47</v>
      </c>
      <c r="D26" s="84">
        <v>51971</v>
      </c>
      <c r="E26" s="86">
        <v>6.3750000000000001E-2</v>
      </c>
      <c r="F26" s="86">
        <v>6.3125000000000001E-2</v>
      </c>
      <c r="G26" s="86">
        <v>6.5730700000000003E-2</v>
      </c>
      <c r="H26" s="86">
        <v>7.0000000000000007E-2</v>
      </c>
      <c r="I26" s="86">
        <v>6.3125000000000001E-2</v>
      </c>
      <c r="J26" s="87">
        <v>6.4899399999999996E-2</v>
      </c>
      <c r="K26" s="87">
        <v>6.5000000000000002E-2</v>
      </c>
      <c r="L26" s="88"/>
      <c r="M26" s="88">
        <v>14362500</v>
      </c>
      <c r="N26" s="88">
        <v>6000000</v>
      </c>
      <c r="O26" s="88">
        <v>4550000</v>
      </c>
      <c r="P26" s="89">
        <f t="shared" si="1"/>
        <v>3.1565934065934065</v>
      </c>
      <c r="Q26" s="90">
        <v>6.5000000000000002E-2</v>
      </c>
      <c r="R26" s="54">
        <f>O26*J26/$O$24</f>
        <v>8.5591962318840573E-2</v>
      </c>
      <c r="S26" s="55">
        <f>O26*J26/$R$10</f>
        <v>302591738.99508673</v>
      </c>
      <c r="T26" s="60">
        <f>SUM(S22:S26)</f>
        <v>649640589.00113654</v>
      </c>
    </row>
    <row r="27" spans="1:20" ht="13.5" customHeight="1" x14ac:dyDescent="0.2">
      <c r="A27" s="58">
        <v>40953</v>
      </c>
      <c r="B27" s="59">
        <v>40955</v>
      </c>
      <c r="C27" s="17" t="s">
        <v>52</v>
      </c>
      <c r="D27" s="18"/>
      <c r="E27" s="48">
        <v>0</v>
      </c>
      <c r="F27" s="26">
        <v>3.7187499999999998E-2</v>
      </c>
      <c r="G27" s="26"/>
      <c r="H27" s="26">
        <v>4.2500000000000003E-2</v>
      </c>
      <c r="I27" s="26"/>
      <c r="J27" s="27"/>
      <c r="K27" s="27"/>
      <c r="L27" s="21">
        <v>1000000</v>
      </c>
      <c r="M27" s="21">
        <v>2331000</v>
      </c>
      <c r="N27" s="21"/>
      <c r="O27" s="21"/>
      <c r="P27" s="44"/>
      <c r="Q27" s="54"/>
      <c r="R27" s="54"/>
      <c r="S27" s="55">
        <f>O27*J27/$R$10</f>
        <v>0</v>
      </c>
      <c r="T27" s="55"/>
    </row>
    <row r="28" spans="1:20" ht="13.5" customHeight="1" x14ac:dyDescent="0.2">
      <c r="A28" s="58"/>
      <c r="B28" s="80"/>
      <c r="C28" s="17" t="s">
        <v>48</v>
      </c>
      <c r="D28" s="18">
        <v>43146</v>
      </c>
      <c r="E28" s="95">
        <v>4.4499999999999998E-2</v>
      </c>
      <c r="F28" s="26">
        <v>4.71875E-2</v>
      </c>
      <c r="G28" s="26"/>
      <c r="H28" s="26">
        <v>4.65625E-2</v>
      </c>
      <c r="I28" s="26">
        <v>4.71875E-2</v>
      </c>
      <c r="J28" s="26">
        <v>4.71875E-2</v>
      </c>
      <c r="K28" s="27"/>
      <c r="L28" s="21"/>
      <c r="M28" s="21">
        <v>246000</v>
      </c>
      <c r="N28" s="21">
        <v>25000</v>
      </c>
      <c r="O28" s="21">
        <v>25000</v>
      </c>
      <c r="P28" s="44">
        <f t="shared" ref="P28:P37" si="2">M28/O28</f>
        <v>9.84</v>
      </c>
      <c r="Q28" s="54"/>
      <c r="R28" s="54"/>
      <c r="S28" s="55"/>
      <c r="T28" s="55"/>
    </row>
    <row r="29" spans="1:20" ht="13.5" customHeight="1" x14ac:dyDescent="0.2">
      <c r="A29" s="16"/>
      <c r="B29" s="1"/>
      <c r="C29" s="17" t="s">
        <v>49</v>
      </c>
      <c r="D29" s="18">
        <v>44576</v>
      </c>
      <c r="E29" s="48"/>
      <c r="F29" s="26">
        <v>5.3124999999999999E-2</v>
      </c>
      <c r="G29" s="26"/>
      <c r="H29" s="26">
        <v>5.7500000000000002E-2</v>
      </c>
      <c r="I29" s="26"/>
      <c r="J29" s="27"/>
      <c r="K29" s="27"/>
      <c r="L29" s="21"/>
      <c r="M29" s="21">
        <v>219000</v>
      </c>
      <c r="N29" s="21"/>
      <c r="O29" s="21"/>
      <c r="P29" s="44"/>
      <c r="Q29" s="54"/>
      <c r="R29" s="54">
        <f>O29*J29/$O$218</f>
        <v>0</v>
      </c>
      <c r="S29" s="55">
        <f>O29*J29/$R$10</f>
        <v>0</v>
      </c>
      <c r="T29" s="55"/>
    </row>
    <row r="30" spans="1:20" ht="13.5" customHeight="1" x14ac:dyDescent="0.2">
      <c r="A30" s="16"/>
      <c r="B30" s="1"/>
      <c r="C30" s="17" t="s">
        <v>50</v>
      </c>
      <c r="D30" s="18">
        <v>46402</v>
      </c>
      <c r="E30" s="26">
        <v>0.06</v>
      </c>
      <c r="F30" s="26">
        <v>5.7187500000000002E-2</v>
      </c>
      <c r="G30" s="26"/>
      <c r="H30" s="26">
        <v>6.3125000000000001E-2</v>
      </c>
      <c r="I30" s="26">
        <v>5.7187500000000002E-2</v>
      </c>
      <c r="J30" s="27">
        <v>5.7500000000000002E-2</v>
      </c>
      <c r="K30" s="27"/>
      <c r="L30" s="21"/>
      <c r="M30" s="21">
        <v>476000</v>
      </c>
      <c r="N30" s="21">
        <v>100000</v>
      </c>
      <c r="O30" s="21">
        <v>100000</v>
      </c>
      <c r="P30" s="44">
        <f t="shared" si="2"/>
        <v>4.76</v>
      </c>
      <c r="Q30" s="54"/>
      <c r="R30" s="54"/>
      <c r="S30" s="55"/>
      <c r="T30" s="55"/>
    </row>
    <row r="31" spans="1:20" ht="13.5" customHeight="1" x14ac:dyDescent="0.2">
      <c r="A31" s="16"/>
      <c r="B31" s="1"/>
      <c r="C31" s="17" t="s">
        <v>53</v>
      </c>
      <c r="D31" s="18">
        <v>50086</v>
      </c>
      <c r="E31" s="26">
        <v>6.0999999999999999E-2</v>
      </c>
      <c r="F31" s="26">
        <v>6.1562499999999999E-2</v>
      </c>
      <c r="G31" s="26"/>
      <c r="H31" s="26">
        <v>7.0000000000000007E-2</v>
      </c>
      <c r="I31" s="26">
        <v>6.1562499999999999E-2</v>
      </c>
      <c r="J31" s="27">
        <v>6.2482999999999997E-2</v>
      </c>
      <c r="K31" s="27"/>
      <c r="L31" s="21"/>
      <c r="M31" s="21">
        <v>3784000</v>
      </c>
      <c r="N31" s="21">
        <v>2050000</v>
      </c>
      <c r="O31" s="21">
        <v>2050000</v>
      </c>
      <c r="P31" s="44">
        <f t="shared" si="2"/>
        <v>1.8458536585365855</v>
      </c>
      <c r="Q31" s="54"/>
      <c r="R31" s="54">
        <f>O31*J31/$O$218</f>
        <v>4.7697327006793698E-4</v>
      </c>
      <c r="S31" s="55">
        <f>O31*J31/$R$10</f>
        <v>131256470.87423423</v>
      </c>
      <c r="T31" s="55"/>
    </row>
    <row r="32" spans="1:20" ht="13.5" customHeight="1" x14ac:dyDescent="0.2">
      <c r="A32" s="81">
        <v>40960</v>
      </c>
      <c r="B32" s="82">
        <v>40962</v>
      </c>
      <c r="C32" s="83" t="s">
        <v>54</v>
      </c>
      <c r="D32" s="84">
        <v>41051</v>
      </c>
      <c r="E32" s="85">
        <v>0</v>
      </c>
      <c r="F32" s="86">
        <v>2.0937500000000001E-2</v>
      </c>
      <c r="G32" s="86">
        <v>2.6657799999999999E-2</v>
      </c>
      <c r="H32" s="86">
        <v>3.5000000000000003E-2</v>
      </c>
      <c r="I32" s="86">
        <v>2.0937500000000001E-2</v>
      </c>
      <c r="J32" s="87">
        <v>2.2009399999999998E-2</v>
      </c>
      <c r="K32" s="87">
        <v>2.3125E-2</v>
      </c>
      <c r="L32" s="88">
        <v>8000000</v>
      </c>
      <c r="M32" s="88">
        <v>2360000</v>
      </c>
      <c r="N32" s="88">
        <v>1200000</v>
      </c>
      <c r="O32" s="88">
        <v>1000000</v>
      </c>
      <c r="P32" s="89">
        <f t="shared" si="2"/>
        <v>2.36</v>
      </c>
      <c r="Q32" s="90">
        <v>2.2599999999999999E-2</v>
      </c>
      <c r="R32" s="54"/>
      <c r="S32" s="55">
        <f>O32*J32/$R$10</f>
        <v>22553460.746664524</v>
      </c>
      <c r="T32" s="55"/>
    </row>
    <row r="33" spans="1:20" ht="13.5" customHeight="1" x14ac:dyDescent="0.2">
      <c r="A33" s="92"/>
      <c r="B33" s="91"/>
      <c r="C33" s="83" t="s">
        <v>55</v>
      </c>
      <c r="D33" s="84">
        <v>41285</v>
      </c>
      <c r="E33" s="85">
        <v>0</v>
      </c>
      <c r="F33" s="86">
        <v>3.125E-2</v>
      </c>
      <c r="G33" s="86">
        <v>3.5607899999999998E-2</v>
      </c>
      <c r="H33" s="86">
        <v>0.04</v>
      </c>
      <c r="I33" s="86">
        <v>3.125E-2</v>
      </c>
      <c r="J33" s="87">
        <v>3.31667E-2</v>
      </c>
      <c r="K33" s="87">
        <v>3.3750000000000002E-2</v>
      </c>
      <c r="L33" s="88"/>
      <c r="M33" s="88">
        <v>3380000</v>
      </c>
      <c r="N33" s="88">
        <v>750000</v>
      </c>
      <c r="O33" s="88">
        <v>750000</v>
      </c>
      <c r="P33" s="89">
        <f t="shared" si="2"/>
        <v>4.5066666666666668</v>
      </c>
      <c r="Q33" s="90">
        <v>3.32E-2</v>
      </c>
      <c r="R33" s="54"/>
      <c r="S33" s="55"/>
      <c r="T33" s="55"/>
    </row>
    <row r="34" spans="1:20" ht="13.5" customHeight="1" x14ac:dyDescent="0.2">
      <c r="A34" s="92"/>
      <c r="B34" s="93"/>
      <c r="C34" s="83" t="s">
        <v>35</v>
      </c>
      <c r="D34" s="84">
        <v>44696</v>
      </c>
      <c r="E34" s="86">
        <v>7.0000000000000007E-2</v>
      </c>
      <c r="F34" s="86">
        <v>5.1562499999999997E-2</v>
      </c>
      <c r="G34" s="86">
        <v>5.2656099999999997E-2</v>
      </c>
      <c r="H34" s="86">
        <v>5.3749999999999999E-2</v>
      </c>
      <c r="I34" s="86">
        <v>5.1562499999999997E-2</v>
      </c>
      <c r="J34" s="87">
        <v>5.2357800000000003E-2</v>
      </c>
      <c r="K34" s="87">
        <v>5.2499999999999998E-2</v>
      </c>
      <c r="L34" s="88"/>
      <c r="M34" s="88">
        <v>4294000</v>
      </c>
      <c r="N34" s="88">
        <v>2150000</v>
      </c>
      <c r="O34" s="88">
        <v>1950000</v>
      </c>
      <c r="P34" s="89">
        <f t="shared" si="2"/>
        <v>2.2020512820512819</v>
      </c>
      <c r="Q34" s="90">
        <v>5.2400000000000002E-2</v>
      </c>
      <c r="R34" s="54" t="e">
        <f>O34*J34/$O$29</f>
        <v>#DIV/0!</v>
      </c>
      <c r="S34" s="55">
        <f>O34*J34/$R$10</f>
        <v>104621511.48188221</v>
      </c>
      <c r="T34" s="55"/>
    </row>
    <row r="35" spans="1:20" ht="13.5" customHeight="1" x14ac:dyDescent="0.2">
      <c r="A35" s="92"/>
      <c r="B35" s="93"/>
      <c r="C35" s="83" t="s">
        <v>32</v>
      </c>
      <c r="D35" s="84">
        <v>48380</v>
      </c>
      <c r="E35" s="86">
        <v>8.2500000000000004E-2</v>
      </c>
      <c r="F35" s="86">
        <v>6.0624999999999998E-2</v>
      </c>
      <c r="G35" s="86">
        <v>6.1441099999999998E-2</v>
      </c>
      <c r="H35" s="86">
        <v>6.25E-2</v>
      </c>
      <c r="I35" s="86">
        <v>6.0624999999999998E-2</v>
      </c>
      <c r="J35" s="87">
        <v>6.09974E-2</v>
      </c>
      <c r="K35" s="87">
        <v>6.1249999999999999E-2</v>
      </c>
      <c r="L35" s="88"/>
      <c r="M35" s="88">
        <v>5631000</v>
      </c>
      <c r="N35" s="88">
        <v>2600000</v>
      </c>
      <c r="O35" s="88">
        <v>2600000</v>
      </c>
      <c r="P35" s="89">
        <f t="shared" si="2"/>
        <v>2.1657692307692309</v>
      </c>
      <c r="Q35" s="90">
        <v>6.0999999999999999E-2</v>
      </c>
      <c r="R35" s="54" t="e">
        <f>O35*J35/$O$29</f>
        <v>#DIV/0!</v>
      </c>
      <c r="S35" s="55">
        <f>O35*J35/$R$10</f>
        <v>162513581.15288678</v>
      </c>
      <c r="T35" s="55"/>
    </row>
    <row r="36" spans="1:20" ht="13.5" customHeight="1" x14ac:dyDescent="0.2">
      <c r="A36" s="92"/>
      <c r="B36" s="93"/>
      <c r="C36" s="83" t="s">
        <v>47</v>
      </c>
      <c r="D36" s="84">
        <v>51971</v>
      </c>
      <c r="E36" s="86">
        <v>6.3750000000000001E-2</v>
      </c>
      <c r="F36" s="86">
        <v>6.0937499999999999E-2</v>
      </c>
      <c r="G36" s="86">
        <v>6.2096600000000002E-2</v>
      </c>
      <c r="H36" s="86">
        <v>6.5000000000000002E-2</v>
      </c>
      <c r="I36" s="86">
        <v>6.0937499999999999E-2</v>
      </c>
      <c r="J36" s="87">
        <v>6.1901900000000003E-2</v>
      </c>
      <c r="K36" s="87">
        <v>6.25E-2</v>
      </c>
      <c r="L36" s="88"/>
      <c r="M36" s="88">
        <v>6600500</v>
      </c>
      <c r="N36" s="88">
        <v>6350000</v>
      </c>
      <c r="O36" s="88">
        <v>5700000</v>
      </c>
      <c r="P36" s="89">
        <f t="shared" si="2"/>
        <v>1.1579824561403509</v>
      </c>
      <c r="Q36" s="90">
        <v>6.2E-2</v>
      </c>
      <c r="R36" s="54" t="e">
        <f>O36*J36/$O$29</f>
        <v>#DIV/0!</v>
      </c>
      <c r="S36" s="55">
        <f>O36*J36/$R$10</f>
        <v>361562869.01167369</v>
      </c>
      <c r="T36" s="60">
        <f>SUM(S32:S36)</f>
        <v>651251422.39310718</v>
      </c>
    </row>
    <row r="37" spans="1:20" ht="13.5" customHeight="1" x14ac:dyDescent="0.2">
      <c r="A37" s="58">
        <v>40962</v>
      </c>
      <c r="B37" s="59">
        <v>40966</v>
      </c>
      <c r="C37" s="17" t="s">
        <v>48</v>
      </c>
      <c r="D37" s="18">
        <v>43146</v>
      </c>
      <c r="E37" s="96">
        <v>4.4499999999999998E-2</v>
      </c>
      <c r="F37" s="26">
        <v>4.4687499999999998E-2</v>
      </c>
      <c r="G37" s="26"/>
      <c r="H37" s="26">
        <v>0.06</v>
      </c>
      <c r="I37" s="26">
        <v>4.4687499999999998E-2</v>
      </c>
      <c r="J37" s="27">
        <v>4.4687499999999998E-2</v>
      </c>
      <c r="K37" s="27"/>
      <c r="L37" s="21">
        <v>1000000</v>
      </c>
      <c r="M37" s="21">
        <v>246000</v>
      </c>
      <c r="N37" s="21">
        <v>25000</v>
      </c>
      <c r="O37" s="21">
        <v>25000</v>
      </c>
      <c r="P37" s="44">
        <f t="shared" si="2"/>
        <v>9.84</v>
      </c>
      <c r="Q37" s="54"/>
      <c r="R37" s="54"/>
      <c r="S37" s="55">
        <f>O37*J37/$R$10</f>
        <v>1144803.7851061034</v>
      </c>
      <c r="T37" s="55"/>
    </row>
    <row r="38" spans="1:20" ht="13.5" customHeight="1" x14ac:dyDescent="0.2">
      <c r="A38" s="58"/>
      <c r="B38" s="80"/>
      <c r="C38" s="17" t="s">
        <v>49</v>
      </c>
      <c r="D38" s="18">
        <v>44576</v>
      </c>
      <c r="E38" s="96">
        <v>5.45E-2</v>
      </c>
      <c r="F38" s="26">
        <v>5.4375E-2</v>
      </c>
      <c r="G38" s="26"/>
      <c r="H38" s="26">
        <v>6.5000000000000002E-2</v>
      </c>
      <c r="I38" s="26">
        <v>5.4375E-2</v>
      </c>
      <c r="J38" s="26">
        <v>5.5E-2</v>
      </c>
      <c r="K38" s="27"/>
      <c r="L38" s="21"/>
      <c r="M38" s="21">
        <v>196000</v>
      </c>
      <c r="N38" s="21">
        <v>170000</v>
      </c>
      <c r="O38" s="21">
        <v>170000</v>
      </c>
      <c r="P38" s="44">
        <f>M38/O38</f>
        <v>1.1529411764705881</v>
      </c>
      <c r="Q38" s="54"/>
      <c r="R38" s="54"/>
      <c r="S38" s="55"/>
      <c r="T38" s="55"/>
    </row>
    <row r="39" spans="1:20" ht="13.5" customHeight="1" x14ac:dyDescent="0.2">
      <c r="A39" s="16"/>
      <c r="B39" s="1"/>
      <c r="C39" s="17" t="s">
        <v>50</v>
      </c>
      <c r="D39" s="18">
        <v>46402</v>
      </c>
      <c r="E39" s="26">
        <v>0.06</v>
      </c>
      <c r="F39" s="26">
        <v>5.7500000000000002E-2</v>
      </c>
      <c r="G39" s="26"/>
      <c r="H39" s="26">
        <v>7.0000000000000007E-2</v>
      </c>
      <c r="I39" s="26">
        <v>5.7500000000000002E-2</v>
      </c>
      <c r="J39" s="27">
        <v>5.7782300000000002E-2</v>
      </c>
      <c r="K39" s="27"/>
      <c r="L39" s="21"/>
      <c r="M39" s="21">
        <v>115000</v>
      </c>
      <c r="N39" s="21">
        <v>77000</v>
      </c>
      <c r="O39" s="21">
        <v>77000</v>
      </c>
      <c r="P39" s="44">
        <f>M39/O39</f>
        <v>1.4935064935064934</v>
      </c>
      <c r="Q39" s="54"/>
      <c r="R39" s="54">
        <f>O39*J39/$O$218</f>
        <v>1.6567762383716351E-5</v>
      </c>
      <c r="S39" s="55">
        <f>O39*J39/$R$10</f>
        <v>4559219.8918395555</v>
      </c>
      <c r="T39" s="55"/>
    </row>
    <row r="40" spans="1:20" ht="13.5" customHeight="1" x14ac:dyDescent="0.2">
      <c r="A40" s="16"/>
      <c r="B40" s="1"/>
      <c r="C40" s="17" t="s">
        <v>53</v>
      </c>
      <c r="D40" s="18">
        <v>50086</v>
      </c>
      <c r="E40" s="26">
        <v>6.0999999999999999E-2</v>
      </c>
      <c r="F40" s="26">
        <v>6.25E-2</v>
      </c>
      <c r="G40" s="26"/>
      <c r="H40" s="26">
        <v>7.2499999999999995E-2</v>
      </c>
      <c r="I40" s="26">
        <v>6.25E-2</v>
      </c>
      <c r="J40" s="27">
        <v>6.2923099999999996E-2</v>
      </c>
      <c r="K40" s="27"/>
      <c r="L40" s="21"/>
      <c r="M40" s="21">
        <v>1569500</v>
      </c>
      <c r="N40" s="21">
        <v>1200000</v>
      </c>
      <c r="O40" s="21">
        <v>1200000</v>
      </c>
      <c r="P40" s="44">
        <f>M40/O40</f>
        <v>1.3079166666666666</v>
      </c>
      <c r="Q40" s="54"/>
      <c r="R40" s="54"/>
      <c r="S40" s="55"/>
      <c r="T40" s="55"/>
    </row>
    <row r="41" spans="1:20" ht="13.5" customHeight="1" x14ac:dyDescent="0.2">
      <c r="A41" s="81">
        <v>40974</v>
      </c>
      <c r="B41" s="82">
        <v>40976</v>
      </c>
      <c r="C41" s="83" t="s">
        <v>56</v>
      </c>
      <c r="D41" s="84">
        <v>41067</v>
      </c>
      <c r="E41" s="85">
        <v>0</v>
      </c>
      <c r="F41" s="86">
        <v>0.03</v>
      </c>
      <c r="G41" s="86">
        <v>3.64967E-2</v>
      </c>
      <c r="H41" s="86">
        <v>4.2500000000000003E-2</v>
      </c>
      <c r="I41" s="86">
        <v>0.03</v>
      </c>
      <c r="J41" s="87">
        <v>0.03</v>
      </c>
      <c r="K41" s="87">
        <v>0.03</v>
      </c>
      <c r="L41" s="88">
        <v>5000000</v>
      </c>
      <c r="M41" s="88">
        <v>1900000</v>
      </c>
      <c r="N41" s="88">
        <v>500000</v>
      </c>
      <c r="O41" s="88">
        <v>500000</v>
      </c>
      <c r="P41" s="89">
        <f>M41/O41</f>
        <v>3.8</v>
      </c>
      <c r="Q41" s="90">
        <v>0.03</v>
      </c>
      <c r="R41" s="54"/>
      <c r="S41" s="55">
        <f>O41*J41/$R$10</f>
        <v>15370792.079746285</v>
      </c>
      <c r="T41" s="55"/>
    </row>
    <row r="42" spans="1:20" ht="13.5" customHeight="1" x14ac:dyDescent="0.2">
      <c r="A42" s="92"/>
      <c r="B42" s="91"/>
      <c r="C42" s="83" t="s">
        <v>57</v>
      </c>
      <c r="D42" s="84">
        <v>41312</v>
      </c>
      <c r="E42" s="85">
        <v>0</v>
      </c>
      <c r="F42" s="86">
        <v>4.0625000000000001E-2</v>
      </c>
      <c r="G42" s="86">
        <v>4.3482100000000003E-2</v>
      </c>
      <c r="H42" s="86">
        <v>4.5624999999999999E-2</v>
      </c>
      <c r="I42" s="86">
        <v>4.0625000000000001E-2</v>
      </c>
      <c r="J42" s="87">
        <v>4.0625000000000001E-2</v>
      </c>
      <c r="K42" s="87">
        <v>4.0625000000000001E-2</v>
      </c>
      <c r="L42" s="88"/>
      <c r="M42" s="88">
        <v>2025000</v>
      </c>
      <c r="N42" s="88">
        <v>1100000</v>
      </c>
      <c r="O42" s="88">
        <v>1100000</v>
      </c>
      <c r="P42" s="89">
        <f>M42/O42</f>
        <v>1.8409090909090908</v>
      </c>
      <c r="Q42" s="90">
        <v>4.07E-2</v>
      </c>
      <c r="R42" s="54"/>
      <c r="S42" s="55"/>
      <c r="T42" s="55"/>
    </row>
    <row r="43" spans="1:20" ht="13.5" customHeight="1" x14ac:dyDescent="0.2">
      <c r="A43" s="92"/>
      <c r="B43" s="93"/>
      <c r="C43" s="83" t="s">
        <v>34</v>
      </c>
      <c r="D43" s="84">
        <v>42840</v>
      </c>
      <c r="E43" s="86">
        <v>6.25E-2</v>
      </c>
      <c r="F43" s="86">
        <v>4.9687500000000002E-2</v>
      </c>
      <c r="G43" s="86">
        <v>5.1496300000000002E-2</v>
      </c>
      <c r="H43" s="86">
        <v>5.5E-2</v>
      </c>
      <c r="I43" s="86">
        <v>0</v>
      </c>
      <c r="J43" s="87">
        <v>0</v>
      </c>
      <c r="K43" s="87">
        <v>0</v>
      </c>
      <c r="L43" s="88"/>
      <c r="M43" s="88">
        <v>2835000</v>
      </c>
      <c r="N43" s="88"/>
      <c r="O43" s="88"/>
      <c r="P43" s="89"/>
      <c r="Q43" s="90">
        <v>4.8500000000000001E-2</v>
      </c>
      <c r="R43" s="54">
        <f>O43*J43/$O$39</f>
        <v>0</v>
      </c>
      <c r="S43" s="55">
        <f>O43*J43/$R$10</f>
        <v>0</v>
      </c>
      <c r="T43" s="55"/>
    </row>
    <row r="44" spans="1:20" s="99" customFormat="1" ht="13.5" customHeight="1" x14ac:dyDescent="0.2">
      <c r="A44" s="92"/>
      <c r="B44" s="93"/>
      <c r="C44" s="83" t="s">
        <v>35</v>
      </c>
      <c r="D44" s="84">
        <v>44696</v>
      </c>
      <c r="E44" s="86">
        <v>7.0000000000000007E-2</v>
      </c>
      <c r="F44" s="86">
        <v>5.7187500000000002E-2</v>
      </c>
      <c r="G44" s="86">
        <v>5.8829600000000003E-2</v>
      </c>
      <c r="H44" s="86">
        <v>6.0937499999999999E-2</v>
      </c>
      <c r="I44" s="86">
        <v>0</v>
      </c>
      <c r="J44" s="87">
        <v>0</v>
      </c>
      <c r="K44" s="87">
        <v>0</v>
      </c>
      <c r="L44" s="88"/>
      <c r="M44" s="88">
        <v>1955000</v>
      </c>
      <c r="N44" s="88"/>
      <c r="O44" s="88"/>
      <c r="P44" s="89"/>
      <c r="Q44" s="90">
        <v>5.5800000000000002E-2</v>
      </c>
      <c r="R44" s="97">
        <f>O44*J44/$O$39</f>
        <v>0</v>
      </c>
      <c r="S44" s="98">
        <f>O44*J44/$R$10</f>
        <v>0</v>
      </c>
      <c r="T44" s="98"/>
    </row>
    <row r="45" spans="1:20" ht="13.5" customHeight="1" x14ac:dyDescent="0.2">
      <c r="A45" s="92"/>
      <c r="B45" s="93"/>
      <c r="C45" s="83" t="s">
        <v>43</v>
      </c>
      <c r="D45" s="84">
        <v>46522</v>
      </c>
      <c r="E45" s="86">
        <v>7.0000000000000007E-2</v>
      </c>
      <c r="F45" s="86">
        <v>6.1874999999999999E-2</v>
      </c>
      <c r="G45" s="86">
        <v>6.2988799999999998E-2</v>
      </c>
      <c r="H45" s="86">
        <v>6.7500000000000004E-2</v>
      </c>
      <c r="I45" s="86">
        <v>0</v>
      </c>
      <c r="J45" s="87">
        <v>0</v>
      </c>
      <c r="K45" s="87">
        <v>0</v>
      </c>
      <c r="L45" s="88"/>
      <c r="M45" s="88">
        <v>1905000</v>
      </c>
      <c r="N45" s="88"/>
      <c r="O45" s="88"/>
      <c r="P45" s="89"/>
      <c r="Q45" s="90">
        <v>6.13E-2</v>
      </c>
      <c r="R45" s="54">
        <f>O45*J45/$O$39</f>
        <v>0</v>
      </c>
      <c r="S45" s="55">
        <f>O45*J45/$R$10</f>
        <v>0</v>
      </c>
      <c r="T45" s="55"/>
    </row>
    <row r="46" spans="1:20" ht="13.5" customHeight="1" x14ac:dyDescent="0.2">
      <c r="A46" s="58">
        <v>40981</v>
      </c>
      <c r="B46" s="59">
        <v>40983</v>
      </c>
      <c r="C46" s="17" t="s">
        <v>59</v>
      </c>
      <c r="D46" s="18">
        <v>41166</v>
      </c>
      <c r="E46" s="48">
        <v>0</v>
      </c>
      <c r="F46" s="26">
        <v>3.7499999999999999E-2</v>
      </c>
      <c r="G46" s="26"/>
      <c r="H46" s="26">
        <v>0.05</v>
      </c>
      <c r="I46" s="26"/>
      <c r="J46" s="27">
        <v>3.7959199999999998E-2</v>
      </c>
      <c r="K46" s="27"/>
      <c r="L46" s="21">
        <v>1000000</v>
      </c>
      <c r="M46" s="21">
        <v>2350000</v>
      </c>
      <c r="N46" s="21">
        <v>280000</v>
      </c>
      <c r="O46" s="21">
        <v>280000</v>
      </c>
      <c r="P46" s="44">
        <f>M46/O46</f>
        <v>8.3928571428571423</v>
      </c>
      <c r="Q46" s="54"/>
      <c r="R46" s="54"/>
      <c r="S46" s="55">
        <f>O46*J46/$R$10</f>
        <v>10891308.786652096</v>
      </c>
      <c r="T46" s="55"/>
    </row>
    <row r="47" spans="1:20" ht="13.5" customHeight="1" x14ac:dyDescent="0.2">
      <c r="A47" s="58"/>
      <c r="B47" s="80"/>
      <c r="C47" s="17" t="s">
        <v>48</v>
      </c>
      <c r="D47" s="18">
        <v>43146</v>
      </c>
      <c r="E47" s="96">
        <v>4.4499999999999998E-2</v>
      </c>
      <c r="F47" s="26">
        <v>5.9687499999999998E-2</v>
      </c>
      <c r="G47" s="26"/>
      <c r="H47" s="26">
        <v>6.5000000000000002E-2</v>
      </c>
      <c r="I47" s="26"/>
      <c r="J47" s="26"/>
      <c r="K47" s="27"/>
      <c r="L47" s="21"/>
      <c r="M47" s="21">
        <v>132000</v>
      </c>
      <c r="N47" s="21"/>
      <c r="O47" s="21"/>
      <c r="P47" s="44"/>
      <c r="Q47" s="54"/>
      <c r="R47" s="54"/>
      <c r="S47" s="55"/>
      <c r="T47" s="55"/>
    </row>
    <row r="48" spans="1:20" ht="13.5" customHeight="1" x14ac:dyDescent="0.2">
      <c r="A48" s="16"/>
      <c r="B48" s="1"/>
      <c r="C48" s="17" t="s">
        <v>49</v>
      </c>
      <c r="D48" s="18">
        <v>44576</v>
      </c>
      <c r="E48" s="96">
        <v>5.45E-2</v>
      </c>
      <c r="F48" s="26">
        <v>6.2812499999999993E-2</v>
      </c>
      <c r="G48" s="26"/>
      <c r="H48" s="26">
        <v>7.0000000000000007E-2</v>
      </c>
      <c r="I48" s="26"/>
      <c r="J48" s="27"/>
      <c r="K48" s="27"/>
      <c r="L48" s="21"/>
      <c r="M48" s="21">
        <v>664000</v>
      </c>
      <c r="N48" s="21"/>
      <c r="O48" s="21"/>
      <c r="P48" s="44"/>
      <c r="Q48" s="54"/>
      <c r="R48" s="54">
        <f>O48*J48/$O$218</f>
        <v>0</v>
      </c>
      <c r="S48" s="55">
        <f>O48*J48/$R$10</f>
        <v>0</v>
      </c>
      <c r="T48" s="55"/>
    </row>
    <row r="49" spans="1:20" ht="13.5" customHeight="1" x14ac:dyDescent="0.2">
      <c r="A49" s="16"/>
      <c r="B49" s="1"/>
      <c r="C49" s="17" t="s">
        <v>50</v>
      </c>
      <c r="D49" s="18">
        <v>46402</v>
      </c>
      <c r="E49" s="26">
        <v>0.06</v>
      </c>
      <c r="F49" s="26">
        <v>6.4687499999999995E-2</v>
      </c>
      <c r="G49" s="26"/>
      <c r="H49" s="26">
        <v>7.4999999999999997E-2</v>
      </c>
      <c r="I49" s="26"/>
      <c r="J49" s="27">
        <v>6.4699999999999994E-2</v>
      </c>
      <c r="K49" s="27"/>
      <c r="L49" s="21"/>
      <c r="M49" s="21">
        <v>1326000</v>
      </c>
      <c r="N49" s="21">
        <v>650000</v>
      </c>
      <c r="O49" s="21">
        <v>650000</v>
      </c>
      <c r="P49" s="44">
        <f t="shared" ref="P49:P55" si="3">M49/O49</f>
        <v>2.04</v>
      </c>
      <c r="Q49" s="54"/>
      <c r="R49" s="54"/>
      <c r="S49" s="55"/>
      <c r="T49" s="55"/>
    </row>
    <row r="50" spans="1:20" ht="13.5" customHeight="1" x14ac:dyDescent="0.2">
      <c r="A50" s="16"/>
      <c r="B50" s="1"/>
      <c r="C50" s="17" t="s">
        <v>53</v>
      </c>
      <c r="D50" s="18">
        <v>50086</v>
      </c>
      <c r="E50" s="26">
        <v>6.0999999999999999E-2</v>
      </c>
      <c r="F50" s="26">
        <v>6.4687499999999995E-2</v>
      </c>
      <c r="G50" s="26"/>
      <c r="H50" s="26">
        <v>7.8750000000000001E-2</v>
      </c>
      <c r="I50" s="26"/>
      <c r="J50" s="27">
        <v>6.8666400000000002E-2</v>
      </c>
      <c r="K50" s="27"/>
      <c r="L50" s="21"/>
      <c r="M50" s="21">
        <v>812000</v>
      </c>
      <c r="N50" s="21">
        <v>730000</v>
      </c>
      <c r="O50" s="21">
        <v>730000</v>
      </c>
      <c r="P50" s="44">
        <f t="shared" si="3"/>
        <v>1.1123287671232878</v>
      </c>
      <c r="Q50" s="54"/>
      <c r="R50" s="54">
        <f>O50*J50/$O$218</f>
        <v>1.8665750072748672E-4</v>
      </c>
      <c r="S50" s="55">
        <f>O50*J50/$R$10</f>
        <v>51365571.920214929</v>
      </c>
      <c r="T50" s="55"/>
    </row>
    <row r="51" spans="1:20" ht="13.5" customHeight="1" x14ac:dyDescent="0.2">
      <c r="A51" s="81">
        <v>40987</v>
      </c>
      <c r="B51" s="82">
        <v>40989</v>
      </c>
      <c r="C51" s="83" t="s">
        <v>60</v>
      </c>
      <c r="D51" s="84">
        <v>42268</v>
      </c>
      <c r="E51" s="86">
        <v>6.25E-2</v>
      </c>
      <c r="F51" s="86"/>
      <c r="G51" s="86"/>
      <c r="H51" s="86"/>
      <c r="I51" s="86"/>
      <c r="J51" s="87">
        <v>6.25E-2</v>
      </c>
      <c r="K51" s="87"/>
      <c r="L51" s="88">
        <v>13000000</v>
      </c>
      <c r="M51" s="88">
        <v>13613805</v>
      </c>
      <c r="N51" s="88">
        <v>13613805</v>
      </c>
      <c r="O51" s="88">
        <v>13613805</v>
      </c>
      <c r="P51" s="89">
        <f t="shared" si="3"/>
        <v>1</v>
      </c>
      <c r="Q51" s="90"/>
      <c r="R51" s="54"/>
      <c r="S51" s="55">
        <f>O51*J51/$R$10</f>
        <v>871895691.9550432</v>
      </c>
      <c r="T51" s="55"/>
    </row>
    <row r="52" spans="1:20" ht="13.5" customHeight="1" x14ac:dyDescent="0.2">
      <c r="A52" s="58">
        <v>40988</v>
      </c>
      <c r="B52" s="58">
        <v>40990</v>
      </c>
      <c r="C52" s="17" t="s">
        <v>58</v>
      </c>
      <c r="D52" s="18">
        <v>41051</v>
      </c>
      <c r="E52" s="67">
        <v>0</v>
      </c>
      <c r="F52" s="62">
        <v>0.03</v>
      </c>
      <c r="G52" s="62">
        <v>3.85104E-2</v>
      </c>
      <c r="H52" s="62">
        <v>4.2500000000000003E-2</v>
      </c>
      <c r="I52" s="62">
        <v>0.03</v>
      </c>
      <c r="J52" s="27">
        <v>3.0800000000000001E-2</v>
      </c>
      <c r="K52" s="27">
        <v>3.1875000000000001E-2</v>
      </c>
      <c r="L52" s="63">
        <v>6000000</v>
      </c>
      <c r="M52" s="63">
        <v>2465000</v>
      </c>
      <c r="N52" s="63">
        <v>250000</v>
      </c>
      <c r="O52" s="63">
        <v>250000</v>
      </c>
      <c r="P52" s="64">
        <f t="shared" si="3"/>
        <v>9.86</v>
      </c>
      <c r="Q52" s="100">
        <v>3.1E-2</v>
      </c>
      <c r="R52" s="54"/>
      <c r="S52" s="55">
        <f>O52*J52/$R$10</f>
        <v>7890339.9342697598</v>
      </c>
      <c r="T52" s="55"/>
    </row>
    <row r="53" spans="1:20" ht="13.5" customHeight="1" x14ac:dyDescent="0.2">
      <c r="A53" s="16"/>
      <c r="B53" s="80"/>
      <c r="C53" s="17" t="s">
        <v>57</v>
      </c>
      <c r="D53" s="18">
        <v>41285</v>
      </c>
      <c r="E53" s="67">
        <v>0</v>
      </c>
      <c r="F53" s="62">
        <v>4.0312500000000001E-2</v>
      </c>
      <c r="G53" s="62">
        <v>4.2195000000000003E-2</v>
      </c>
      <c r="H53" s="62">
        <v>4.4999999999999998E-2</v>
      </c>
      <c r="I53" s="62">
        <v>4.0312500000000001E-2</v>
      </c>
      <c r="J53" s="27">
        <v>4.04167E-2</v>
      </c>
      <c r="K53" s="27">
        <v>4.0625000000000001E-2</v>
      </c>
      <c r="L53" s="63"/>
      <c r="M53" s="63">
        <v>2721000</v>
      </c>
      <c r="N53" s="63">
        <v>1050000</v>
      </c>
      <c r="O53" s="63">
        <v>1000000</v>
      </c>
      <c r="P53" s="64">
        <f t="shared" si="3"/>
        <v>2.7210000000000001</v>
      </c>
      <c r="Q53" s="100">
        <v>4.0500000000000001E-2</v>
      </c>
      <c r="R53" s="54"/>
      <c r="S53" s="55"/>
      <c r="T53" s="55"/>
    </row>
    <row r="54" spans="1:20" ht="13.5" customHeight="1" x14ac:dyDescent="0.2">
      <c r="A54" s="16"/>
      <c r="B54" s="1"/>
      <c r="C54" s="17" t="s">
        <v>34</v>
      </c>
      <c r="D54" s="18">
        <v>42840</v>
      </c>
      <c r="E54" s="62">
        <v>6.25E-2</v>
      </c>
      <c r="F54" s="62">
        <v>4.8750000000000002E-2</v>
      </c>
      <c r="G54" s="62">
        <v>5.1622800000000003E-2</v>
      </c>
      <c r="H54" s="62">
        <v>0.06</v>
      </c>
      <c r="I54" s="62">
        <v>4.8750000000000002E-2</v>
      </c>
      <c r="J54" s="27">
        <v>5.1191899999999999E-2</v>
      </c>
      <c r="K54" s="27">
        <v>5.2187499999999998E-2</v>
      </c>
      <c r="L54" s="63"/>
      <c r="M54" s="63">
        <v>2449000</v>
      </c>
      <c r="N54" s="63">
        <v>2300000</v>
      </c>
      <c r="O54" s="63">
        <v>1950000</v>
      </c>
      <c r="P54" s="64">
        <f t="shared" si="3"/>
        <v>1.255897435897436</v>
      </c>
      <c r="Q54" s="100">
        <v>5.1499999999999997E-2</v>
      </c>
      <c r="R54" s="54">
        <v>0</v>
      </c>
      <c r="S54" s="55">
        <v>0</v>
      </c>
      <c r="T54" s="55"/>
    </row>
    <row r="55" spans="1:20" ht="13.5" customHeight="1" x14ac:dyDescent="0.2">
      <c r="A55" s="16"/>
      <c r="B55" s="1"/>
      <c r="C55" s="17" t="s">
        <v>35</v>
      </c>
      <c r="D55" s="18">
        <v>44696</v>
      </c>
      <c r="E55" s="62">
        <v>7.0000000000000007E-2</v>
      </c>
      <c r="F55" s="62">
        <v>5.7500000000000002E-2</v>
      </c>
      <c r="G55" s="62">
        <v>5.9145700000000002E-2</v>
      </c>
      <c r="H55" s="62">
        <v>6.3125000000000001E-2</v>
      </c>
      <c r="I55" s="62">
        <v>5.7500000000000002E-2</v>
      </c>
      <c r="J55" s="27">
        <v>5.8697600000000003E-2</v>
      </c>
      <c r="K55" s="27">
        <v>5.9374999999999997E-2</v>
      </c>
      <c r="L55" s="63"/>
      <c r="M55" s="63">
        <v>3433000</v>
      </c>
      <c r="N55" s="63">
        <v>2050000</v>
      </c>
      <c r="O55" s="63">
        <v>2050000</v>
      </c>
      <c r="P55" s="64">
        <f t="shared" si="3"/>
        <v>1.6746341463414633</v>
      </c>
      <c r="Q55" s="100">
        <v>5.8700000000000002E-2</v>
      </c>
      <c r="R55" s="54">
        <v>0</v>
      </c>
      <c r="S55" s="55">
        <v>0</v>
      </c>
      <c r="T55" s="55"/>
    </row>
    <row r="56" spans="1:20" ht="13.5" customHeight="1" x14ac:dyDescent="0.2">
      <c r="A56" s="16"/>
      <c r="B56" s="1"/>
      <c r="C56" s="17" t="s">
        <v>32</v>
      </c>
      <c r="D56" s="18">
        <v>48380</v>
      </c>
      <c r="E56" s="62">
        <v>8.2500000000000004E-2</v>
      </c>
      <c r="F56" s="62">
        <v>6.5937499999999996E-2</v>
      </c>
      <c r="G56" s="62">
        <v>6.7572999999999994E-2</v>
      </c>
      <c r="H56" s="62">
        <v>6.9375000000000006E-2</v>
      </c>
      <c r="I56" s="62">
        <v>6.5937499999999996E-2</v>
      </c>
      <c r="J56" s="27">
        <v>6.7264900000000002E-2</v>
      </c>
      <c r="K56" s="27">
        <v>6.7812499999999998E-2</v>
      </c>
      <c r="L56" s="63"/>
      <c r="M56" s="63">
        <v>3017000</v>
      </c>
      <c r="N56" s="63">
        <v>2100000</v>
      </c>
      <c r="O56" s="63">
        <v>2050000</v>
      </c>
      <c r="P56" s="64">
        <v>4.6167499999999997</v>
      </c>
      <c r="Q56" s="100">
        <v>6.7299999999999999E-2</v>
      </c>
      <c r="R56" s="54">
        <v>1.9887751488813776E-3</v>
      </c>
      <c r="S56" s="55">
        <v>29293528.561597757</v>
      </c>
      <c r="T56" s="60"/>
    </row>
    <row r="57" spans="1:20" ht="13.5" customHeight="1" x14ac:dyDescent="0.2">
      <c r="A57" s="81">
        <v>40989</v>
      </c>
      <c r="B57" s="82">
        <v>40989</v>
      </c>
      <c r="C57" s="83" t="s">
        <v>61</v>
      </c>
      <c r="D57" s="84">
        <v>42815</v>
      </c>
      <c r="E57" s="86">
        <v>5.16E-2</v>
      </c>
      <c r="F57" s="86"/>
      <c r="G57" s="86"/>
      <c r="H57" s="86"/>
      <c r="I57" s="86"/>
      <c r="J57" s="86">
        <v>5.16E-2</v>
      </c>
      <c r="K57" s="87"/>
      <c r="L57" s="88">
        <v>8000000</v>
      </c>
      <c r="M57" s="88">
        <v>2000000</v>
      </c>
      <c r="N57" s="88">
        <v>2000000</v>
      </c>
      <c r="O57" s="88">
        <v>2000000</v>
      </c>
      <c r="P57" s="89">
        <f>M57/O57</f>
        <v>1</v>
      </c>
      <c r="Q57" s="90">
        <v>0.03</v>
      </c>
      <c r="R57" s="54"/>
      <c r="S57" s="55">
        <f>O57*J57/$R$10</f>
        <v>105751049.50865445</v>
      </c>
      <c r="T57" s="55"/>
    </row>
    <row r="58" spans="1:20" ht="13.5" customHeight="1" x14ac:dyDescent="0.2">
      <c r="A58" s="92"/>
      <c r="B58" s="91"/>
      <c r="C58" s="83" t="s">
        <v>62</v>
      </c>
      <c r="D58" s="84">
        <v>43545</v>
      </c>
      <c r="E58" s="86">
        <v>5.4600000000000003E-2</v>
      </c>
      <c r="F58" s="86"/>
      <c r="G58" s="86"/>
      <c r="H58" s="86"/>
      <c r="I58" s="86"/>
      <c r="J58" s="86">
        <v>5.4600000000000003E-2</v>
      </c>
      <c r="K58" s="87"/>
      <c r="L58" s="88"/>
      <c r="M58" s="88">
        <v>3000000</v>
      </c>
      <c r="N58" s="88">
        <v>3000000</v>
      </c>
      <c r="O58" s="88">
        <v>3000000</v>
      </c>
      <c r="P58" s="89">
        <f>M58/O58</f>
        <v>1</v>
      </c>
      <c r="Q58" s="90">
        <v>4.07E-2</v>
      </c>
      <c r="R58" s="54"/>
      <c r="S58" s="55"/>
      <c r="T58" s="55"/>
    </row>
    <row r="59" spans="1:20" ht="13.5" customHeight="1" x14ac:dyDescent="0.2">
      <c r="A59" s="92"/>
      <c r="B59" s="93"/>
      <c r="C59" s="83" t="s">
        <v>63</v>
      </c>
      <c r="D59" s="84">
        <v>44641</v>
      </c>
      <c r="E59" s="86">
        <v>5.91E-2</v>
      </c>
      <c r="F59" s="86"/>
      <c r="G59" s="86"/>
      <c r="H59" s="86"/>
      <c r="I59" s="86"/>
      <c r="J59" s="86">
        <v>5.91E-2</v>
      </c>
      <c r="K59" s="87"/>
      <c r="L59" s="88"/>
      <c r="M59" s="88">
        <v>3342000</v>
      </c>
      <c r="N59" s="88">
        <v>3342000</v>
      </c>
      <c r="O59" s="88">
        <v>3342000</v>
      </c>
      <c r="P59" s="89">
        <f>M59/O59</f>
        <v>1</v>
      </c>
      <c r="Q59" s="90">
        <v>4.8500000000000001E-2</v>
      </c>
      <c r="R59" s="54">
        <f>O59*J59/$O$39</f>
        <v>2.5650935064935068</v>
      </c>
      <c r="S59" s="55">
        <f>O59*J59/$R$10</f>
        <v>202394597.29421762</v>
      </c>
      <c r="T59" s="55"/>
    </row>
    <row r="60" spans="1:20" ht="13.5" customHeight="1" x14ac:dyDescent="0.2">
      <c r="A60" s="58">
        <v>40995</v>
      </c>
      <c r="B60" s="59">
        <v>40997</v>
      </c>
      <c r="C60" s="17" t="s">
        <v>48</v>
      </c>
      <c r="D60" s="18">
        <v>43146</v>
      </c>
      <c r="E60" s="96">
        <v>4.4499999999999998E-2</v>
      </c>
      <c r="F60" s="26">
        <v>5.8125000000000003E-2</v>
      </c>
      <c r="G60" s="26"/>
      <c r="H60" s="26">
        <v>6.5000000000000002E-2</v>
      </c>
      <c r="I60" s="26"/>
      <c r="J60" s="26"/>
      <c r="K60" s="27"/>
      <c r="L60" s="21">
        <v>1000000</v>
      </c>
      <c r="M60" s="21">
        <v>108000</v>
      </c>
      <c r="N60" s="21"/>
      <c r="O60" s="21"/>
      <c r="P60" s="44"/>
      <c r="Q60" s="54"/>
      <c r="R60" s="54"/>
      <c r="S60" s="55"/>
      <c r="T60" s="55"/>
    </row>
    <row r="61" spans="1:20" ht="13.5" customHeight="1" x14ac:dyDescent="0.2">
      <c r="A61" s="16"/>
      <c r="B61" s="1"/>
      <c r="C61" s="17" t="s">
        <v>49</v>
      </c>
      <c r="D61" s="18">
        <v>44576</v>
      </c>
      <c r="E61" s="96">
        <v>5.45E-2</v>
      </c>
      <c r="F61" s="26">
        <v>6.21875E-2</v>
      </c>
      <c r="G61" s="26"/>
      <c r="H61" s="26">
        <v>7.0000000000000007E-2</v>
      </c>
      <c r="I61" s="26"/>
      <c r="J61" s="27"/>
      <c r="K61" s="27"/>
      <c r="L61" s="21"/>
      <c r="M61" s="21">
        <v>483000</v>
      </c>
      <c r="N61" s="21"/>
      <c r="O61" s="21"/>
      <c r="P61" s="44"/>
      <c r="Q61" s="54"/>
      <c r="R61" s="54">
        <f>O61*J61/$O$218</f>
        <v>0</v>
      </c>
      <c r="S61" s="55">
        <f>O61*J61/$R$10</f>
        <v>0</v>
      </c>
      <c r="T61" s="55"/>
    </row>
    <row r="62" spans="1:20" ht="13.5" customHeight="1" x14ac:dyDescent="0.2">
      <c r="A62" s="16"/>
      <c r="B62" s="1"/>
      <c r="C62" s="17" t="s">
        <v>50</v>
      </c>
      <c r="D62" s="18">
        <v>46402</v>
      </c>
      <c r="E62" s="26">
        <v>0.06</v>
      </c>
      <c r="F62" s="26">
        <v>6.5312499999999996E-2</v>
      </c>
      <c r="G62" s="26"/>
      <c r="H62" s="26">
        <v>7.0937500000000001E-2</v>
      </c>
      <c r="I62" s="26"/>
      <c r="J62" s="27"/>
      <c r="K62" s="27"/>
      <c r="L62" s="21"/>
      <c r="M62" s="21">
        <v>801000</v>
      </c>
      <c r="N62" s="21"/>
      <c r="O62" s="21"/>
      <c r="P62" s="44"/>
      <c r="Q62" s="54"/>
      <c r="R62" s="54"/>
      <c r="S62" s="55"/>
      <c r="T62" s="55"/>
    </row>
    <row r="63" spans="1:20" ht="13.5" customHeight="1" x14ac:dyDescent="0.2">
      <c r="A63" s="16"/>
      <c r="B63" s="1"/>
      <c r="C63" s="17" t="s">
        <v>53</v>
      </c>
      <c r="D63" s="18">
        <v>50086</v>
      </c>
      <c r="E63" s="26">
        <v>6.0999999999999999E-2</v>
      </c>
      <c r="F63" s="26">
        <v>6.8125000000000005E-2</v>
      </c>
      <c r="G63" s="26"/>
      <c r="H63" s="26">
        <v>7.2499999999999995E-2</v>
      </c>
      <c r="I63" s="26"/>
      <c r="J63" s="27">
        <v>6.9596500000000006E-2</v>
      </c>
      <c r="K63" s="27"/>
      <c r="L63" s="21"/>
      <c r="M63" s="21">
        <v>792000</v>
      </c>
      <c r="N63" s="21"/>
      <c r="O63" s="21">
        <v>355000</v>
      </c>
      <c r="P63" s="44">
        <f>M63/O63</f>
        <v>2.2309859154929579</v>
      </c>
      <c r="Q63" s="100">
        <v>6.7299999999999999E-2</v>
      </c>
      <c r="R63" s="54">
        <f>O63*J63/$O$218</f>
        <v>9.2001320300979657E-5</v>
      </c>
      <c r="S63" s="55">
        <f>O63*J63/$R$10</f>
        <v>25317495.499814145</v>
      </c>
      <c r="T63" s="55"/>
    </row>
    <row r="64" spans="1:20" ht="13.5" customHeight="1" x14ac:dyDescent="0.2">
      <c r="A64" s="81">
        <v>41002</v>
      </c>
      <c r="B64" s="82">
        <v>41004</v>
      </c>
      <c r="C64" s="83" t="s">
        <v>64</v>
      </c>
      <c r="D64" s="84">
        <v>41368</v>
      </c>
      <c r="E64" s="86">
        <v>0</v>
      </c>
      <c r="F64" s="86">
        <v>3.875E-2</v>
      </c>
      <c r="G64" s="86">
        <v>4.1736099999999998E-2</v>
      </c>
      <c r="H64" s="86">
        <v>4.4999999999999998E-2</v>
      </c>
      <c r="I64" s="86">
        <v>3.875E-2</v>
      </c>
      <c r="J64" s="86">
        <v>3.9166699999999999E-2</v>
      </c>
      <c r="K64" s="87">
        <v>3.9375E-2</v>
      </c>
      <c r="L64" s="88">
        <v>6000000</v>
      </c>
      <c r="M64" s="88">
        <v>6100000</v>
      </c>
      <c r="N64" s="88">
        <v>1300000</v>
      </c>
      <c r="O64" s="88">
        <v>1000000</v>
      </c>
      <c r="P64" s="89">
        <f>M64/O64</f>
        <v>6.1</v>
      </c>
      <c r="Q64" s="90">
        <v>3.95E-2</v>
      </c>
      <c r="R64" s="54"/>
      <c r="S64" s="55">
        <f>O64*J64/$R$10</f>
        <v>40134880.14331992</v>
      </c>
      <c r="T64" s="55"/>
    </row>
    <row r="65" spans="1:23" ht="13.5" customHeight="1" x14ac:dyDescent="0.2">
      <c r="A65" s="81"/>
      <c r="B65" s="82"/>
      <c r="C65" s="83" t="s">
        <v>35</v>
      </c>
      <c r="D65" s="84">
        <v>44696</v>
      </c>
      <c r="E65" s="86">
        <v>7.0000000000000007E-2</v>
      </c>
      <c r="F65" s="86">
        <v>5.7812500000000003E-2</v>
      </c>
      <c r="G65" s="86">
        <v>5.89077E-2</v>
      </c>
      <c r="H65" s="86">
        <v>6.1874999999999999E-2</v>
      </c>
      <c r="I65" s="86">
        <v>5.7812500000000003E-2</v>
      </c>
      <c r="J65" s="86">
        <v>5.86992E-2</v>
      </c>
      <c r="K65" s="87">
        <v>5.9062499999999997E-2</v>
      </c>
      <c r="L65" s="88"/>
      <c r="M65" s="88">
        <v>4188000</v>
      </c>
      <c r="N65" s="88">
        <v>3300000</v>
      </c>
      <c r="O65" s="88">
        <v>3300000</v>
      </c>
      <c r="P65" s="89">
        <f>M65/O65</f>
        <v>1.269090909090909</v>
      </c>
      <c r="Q65" s="90">
        <v>5.8700000000000002E-2</v>
      </c>
      <c r="R65" s="54"/>
      <c r="S65" s="55"/>
      <c r="T65" s="55"/>
    </row>
    <row r="66" spans="1:23" ht="13.5" customHeight="1" x14ac:dyDescent="0.2">
      <c r="A66" s="81"/>
      <c r="B66" s="82"/>
      <c r="C66" s="83" t="s">
        <v>43</v>
      </c>
      <c r="D66" s="84">
        <v>46522</v>
      </c>
      <c r="E66" s="86">
        <v>7.0000000000000007E-2</v>
      </c>
      <c r="F66" s="86">
        <v>6.21875E-2</v>
      </c>
      <c r="G66" s="86">
        <v>6.3441600000000001E-2</v>
      </c>
      <c r="H66" s="86">
        <v>6.5000000000000002E-2</v>
      </c>
      <c r="I66" s="86">
        <v>6.21875E-2</v>
      </c>
      <c r="J66" s="86">
        <v>6.3199099999999994E-2</v>
      </c>
      <c r="K66" s="87">
        <v>6.3437499999999994E-2</v>
      </c>
      <c r="L66" s="88"/>
      <c r="M66" s="88">
        <v>4009000</v>
      </c>
      <c r="N66" s="88">
        <v>2700000</v>
      </c>
      <c r="O66" s="88">
        <v>2700000</v>
      </c>
      <c r="P66" s="89">
        <f t="shared" ref="P66:P72" si="4">M66/O66</f>
        <v>1.4848148148148148</v>
      </c>
      <c r="Q66" s="90">
        <v>6.3200000000000006E-2</v>
      </c>
      <c r="R66" s="54" t="e">
        <f>O66*J66/$O$43</f>
        <v>#DIV/0!</v>
      </c>
      <c r="S66" s="55">
        <f>O66*J66/$R$10</f>
        <v>174855640.63087681</v>
      </c>
      <c r="T66" s="55"/>
    </row>
    <row r="67" spans="1:23" ht="13.5" customHeight="1" x14ac:dyDescent="0.2">
      <c r="A67" s="81"/>
      <c r="B67" s="82"/>
      <c r="C67" s="83" t="s">
        <v>32</v>
      </c>
      <c r="D67" s="84">
        <v>48380</v>
      </c>
      <c r="E67" s="86">
        <v>8.2500000000000004E-2</v>
      </c>
      <c r="F67" s="86">
        <v>6.6562499999999997E-2</v>
      </c>
      <c r="G67" s="86">
        <v>6.7594600000000005E-2</v>
      </c>
      <c r="H67" s="86">
        <v>7.0000000000000007E-2</v>
      </c>
      <c r="I67" s="86">
        <v>6.6562499999999997E-2</v>
      </c>
      <c r="J67" s="86">
        <v>6.7283399999999993E-2</v>
      </c>
      <c r="K67" s="87">
        <v>6.7500000000000004E-2</v>
      </c>
      <c r="L67" s="88"/>
      <c r="M67" s="88">
        <v>5192000</v>
      </c>
      <c r="N67" s="88">
        <v>2150000</v>
      </c>
      <c r="O67" s="88">
        <v>2000000</v>
      </c>
      <c r="P67" s="89">
        <f t="shared" si="4"/>
        <v>2.5960000000000001</v>
      </c>
      <c r="Q67" s="90">
        <v>6.7299999999999999E-2</v>
      </c>
      <c r="R67" s="54" t="e">
        <f>O67*J67/$O$43</f>
        <v>#DIV/0!</v>
      </c>
      <c r="S67" s="55">
        <f>O67*J67/$R$10</f>
        <v>137893220.24245349</v>
      </c>
      <c r="T67" s="55"/>
    </row>
    <row r="68" spans="1:23" ht="13.5" customHeight="1" x14ac:dyDescent="0.2">
      <c r="A68" s="58">
        <v>41009</v>
      </c>
      <c r="B68" s="59">
        <v>41011</v>
      </c>
      <c r="C68" s="17" t="s">
        <v>65</v>
      </c>
      <c r="D68" s="18">
        <v>41193</v>
      </c>
      <c r="E68" s="96">
        <v>0</v>
      </c>
      <c r="F68" s="26">
        <v>3.7812499999999999E-2</v>
      </c>
      <c r="G68" s="26"/>
      <c r="H68" s="26">
        <v>4.7500000000000001E-2</v>
      </c>
      <c r="I68" s="26"/>
      <c r="J68" s="26"/>
      <c r="K68" s="27"/>
      <c r="L68" s="21">
        <v>1000000</v>
      </c>
      <c r="M68" s="21">
        <v>2451000</v>
      </c>
      <c r="N68" s="21"/>
      <c r="O68" s="21">
        <v>0</v>
      </c>
      <c r="P68" s="89" t="e">
        <f t="shared" si="4"/>
        <v>#DIV/0!</v>
      </c>
      <c r="Q68" s="54"/>
      <c r="R68" s="54"/>
      <c r="S68" s="55">
        <f>O68*J68/$R$10</f>
        <v>0</v>
      </c>
      <c r="T68" s="55"/>
    </row>
    <row r="69" spans="1:23" ht="13.5" customHeight="1" x14ac:dyDescent="0.2">
      <c r="A69" s="16"/>
      <c r="B69" s="1"/>
      <c r="C69" s="17" t="s">
        <v>48</v>
      </c>
      <c r="D69" s="18">
        <v>43146</v>
      </c>
      <c r="E69" s="96">
        <v>4.4499999999999998E-2</v>
      </c>
      <c r="F69" s="26">
        <v>5.3124999999999999E-2</v>
      </c>
      <c r="G69" s="26"/>
      <c r="H69" s="26">
        <v>6.5000000000000002E-2</v>
      </c>
      <c r="I69" s="26"/>
      <c r="J69" s="27">
        <v>5.3124999999999999E-2</v>
      </c>
      <c r="K69" s="27"/>
      <c r="L69" s="21"/>
      <c r="M69" s="21">
        <v>2171000</v>
      </c>
      <c r="N69" s="21"/>
      <c r="O69" s="21">
        <v>1000000</v>
      </c>
      <c r="P69" s="89">
        <f t="shared" si="4"/>
        <v>2.1709999999999998</v>
      </c>
      <c r="Q69" s="54"/>
      <c r="R69" s="54"/>
      <c r="S69" s="55"/>
      <c r="T69" s="55"/>
    </row>
    <row r="70" spans="1:23" ht="13.5" customHeight="1" x14ac:dyDescent="0.2">
      <c r="A70" s="16"/>
      <c r="B70" s="1"/>
      <c r="C70" s="17" t="s">
        <v>49</v>
      </c>
      <c r="D70" s="18">
        <v>44576</v>
      </c>
      <c r="E70" s="96">
        <v>5.45E-2</v>
      </c>
      <c r="F70" s="26">
        <v>6.0937499999999999E-2</v>
      </c>
      <c r="G70" s="26"/>
      <c r="H70" s="26">
        <v>7.0000000000000007E-2</v>
      </c>
      <c r="I70" s="26"/>
      <c r="J70" s="27">
        <v>6.1093799999999997E-2</v>
      </c>
      <c r="K70" s="27"/>
      <c r="L70" s="21"/>
      <c r="M70" s="21">
        <v>466000</v>
      </c>
      <c r="N70" s="21"/>
      <c r="O70" s="21">
        <v>100000</v>
      </c>
      <c r="P70" s="89">
        <f t="shared" si="4"/>
        <v>4.66</v>
      </c>
      <c r="Q70" s="54"/>
      <c r="R70" s="54" t="e">
        <f>O70*J70/$O$43</f>
        <v>#DIV/0!</v>
      </c>
      <c r="S70" s="55">
        <f>O70*J70/$R$10</f>
        <v>6260400.6477440242</v>
      </c>
      <c r="T70" s="55"/>
    </row>
    <row r="71" spans="1:23" ht="13.5" customHeight="1" x14ac:dyDescent="0.2">
      <c r="A71" s="16"/>
      <c r="B71" s="1"/>
      <c r="C71" s="17" t="s">
        <v>50</v>
      </c>
      <c r="D71" s="18">
        <v>46402</v>
      </c>
      <c r="E71" s="26">
        <v>0.06</v>
      </c>
      <c r="F71" s="26">
        <v>6.5312499999999996E-2</v>
      </c>
      <c r="G71" s="26"/>
      <c r="H71" s="26">
        <v>7.4999999999999997E-2</v>
      </c>
      <c r="I71" s="26"/>
      <c r="J71" s="27">
        <v>6.5312499999999996E-2</v>
      </c>
      <c r="K71" s="27"/>
      <c r="L71" s="21"/>
      <c r="M71" s="21">
        <v>1341000</v>
      </c>
      <c r="N71" s="21"/>
      <c r="O71" s="21">
        <v>550000</v>
      </c>
      <c r="P71" s="89">
        <f t="shared" si="4"/>
        <v>2.438181818181818</v>
      </c>
      <c r="Q71" s="100"/>
      <c r="R71" s="54" t="e">
        <f>O71*J71/$O$43</f>
        <v>#DIV/0!</v>
      </c>
      <c r="S71" s="55">
        <f>O71*J71/$R$10</f>
        <v>36809844.782642402</v>
      </c>
      <c r="T71" s="55"/>
    </row>
    <row r="72" spans="1:23" ht="13.5" customHeight="1" x14ac:dyDescent="0.2">
      <c r="A72" s="16"/>
      <c r="B72" s="1"/>
      <c r="C72" s="17" t="s">
        <v>53</v>
      </c>
      <c r="D72" s="18">
        <v>50086</v>
      </c>
      <c r="E72" s="26">
        <v>6.0999999999999999E-2</v>
      </c>
      <c r="F72" s="26">
        <v>6.8750000000000006E-2</v>
      </c>
      <c r="G72" s="26"/>
      <c r="H72" s="26">
        <v>0.08</v>
      </c>
      <c r="I72" s="26"/>
      <c r="J72" s="27">
        <v>6.9043400000000005E-2</v>
      </c>
      <c r="K72" s="27"/>
      <c r="L72" s="21"/>
      <c r="M72" s="21">
        <v>639000</v>
      </c>
      <c r="N72" s="21"/>
      <c r="O72" s="21">
        <v>250000</v>
      </c>
      <c r="P72" s="89">
        <f t="shared" si="4"/>
        <v>2.556</v>
      </c>
      <c r="Q72" s="100"/>
      <c r="R72" s="54" t="e">
        <f>O72*J72/$O$43</f>
        <v>#DIV/0!</v>
      </c>
      <c r="S72" s="55">
        <f>O72*J72/$R$10</f>
        <v>17687529.097979248</v>
      </c>
      <c r="T72" s="55"/>
    </row>
    <row r="73" spans="1:23" ht="13.5" customHeight="1" x14ac:dyDescent="0.2">
      <c r="A73" s="81">
        <v>41016</v>
      </c>
      <c r="B73" s="81">
        <v>41018</v>
      </c>
      <c r="C73" s="83" t="s">
        <v>66</v>
      </c>
      <c r="D73" s="84">
        <v>41108</v>
      </c>
      <c r="E73" s="85">
        <v>0</v>
      </c>
      <c r="F73" s="86">
        <v>3.15625E-2</v>
      </c>
      <c r="G73" s="86">
        <v>3.7930400000000003E-2</v>
      </c>
      <c r="H73" s="86">
        <v>4.4999999999999998E-2</v>
      </c>
      <c r="I73" s="86">
        <v>3.15625E-2</v>
      </c>
      <c r="J73" s="87">
        <v>3.3057299999999998E-2</v>
      </c>
      <c r="K73" s="87">
        <v>3.3437500000000002E-2</v>
      </c>
      <c r="L73" s="88">
        <v>6000000</v>
      </c>
      <c r="M73" s="88">
        <v>2080000</v>
      </c>
      <c r="N73" s="88">
        <v>300000</v>
      </c>
      <c r="O73" s="88">
        <v>300000</v>
      </c>
      <c r="P73" s="89">
        <f>M73/O73</f>
        <v>6.9333333333333336</v>
      </c>
      <c r="Q73" s="90">
        <v>3.3099999999999997E-2</v>
      </c>
      <c r="R73" s="54"/>
      <c r="S73" s="55">
        <f>O73*J73/$R$10</f>
        <v>10162337.700355936</v>
      </c>
      <c r="T73" s="55"/>
    </row>
    <row r="74" spans="1:23" ht="13.5" customHeight="1" x14ac:dyDescent="0.2">
      <c r="A74" s="92"/>
      <c r="B74" s="91"/>
      <c r="C74" s="83" t="s">
        <v>67</v>
      </c>
      <c r="D74" s="84">
        <v>41368</v>
      </c>
      <c r="E74" s="85">
        <v>0</v>
      </c>
      <c r="F74" s="86">
        <v>3.875E-2</v>
      </c>
      <c r="G74" s="86">
        <v>4.0850999999999998E-2</v>
      </c>
      <c r="H74" s="86">
        <v>4.7500000000000001E-2</v>
      </c>
      <c r="I74" s="86">
        <v>3.875E-2</v>
      </c>
      <c r="J74" s="87">
        <v>3.95E-2</v>
      </c>
      <c r="K74" s="87">
        <v>0.04</v>
      </c>
      <c r="L74" s="88"/>
      <c r="M74" s="88">
        <v>4150000</v>
      </c>
      <c r="N74" s="88">
        <v>1900000</v>
      </c>
      <c r="O74" s="88">
        <v>1900000</v>
      </c>
      <c r="P74" s="89">
        <f>M74/O74</f>
        <v>2.1842105263157894</v>
      </c>
      <c r="Q74" s="90">
        <v>3.95E-2</v>
      </c>
      <c r="R74" s="54"/>
      <c r="S74" s="55"/>
      <c r="T74" s="55"/>
    </row>
    <row r="75" spans="1:23" ht="13.5" customHeight="1" x14ac:dyDescent="0.2">
      <c r="A75" s="92"/>
      <c r="B75" s="93"/>
      <c r="C75" s="83" t="s">
        <v>35</v>
      </c>
      <c r="D75" s="84">
        <v>44696</v>
      </c>
      <c r="E75" s="86">
        <v>7.0000000000000007E-2</v>
      </c>
      <c r="F75" s="86">
        <v>6.0937499999999999E-2</v>
      </c>
      <c r="G75" s="86">
        <v>6.21383E-2</v>
      </c>
      <c r="H75" s="86">
        <v>6.5000000000000002E-2</v>
      </c>
      <c r="I75" s="86"/>
      <c r="J75" s="87"/>
      <c r="K75" s="87"/>
      <c r="L75" s="88"/>
      <c r="M75" s="88">
        <v>3225000</v>
      </c>
      <c r="N75" s="88">
        <v>0</v>
      </c>
      <c r="O75" s="88">
        <v>0</v>
      </c>
      <c r="P75" s="89"/>
      <c r="Q75" s="90">
        <v>6.0999999999999999E-2</v>
      </c>
      <c r="R75" s="54">
        <v>0</v>
      </c>
      <c r="S75" s="55">
        <v>0</v>
      </c>
      <c r="T75" s="55"/>
    </row>
    <row r="76" spans="1:23" ht="13.5" customHeight="1" x14ac:dyDescent="0.2">
      <c r="A76" s="92"/>
      <c r="B76" s="93"/>
      <c r="C76" s="83" t="s">
        <v>43</v>
      </c>
      <c r="D76" s="84">
        <v>46522</v>
      </c>
      <c r="E76" s="86">
        <v>7.0000000000000007E-2</v>
      </c>
      <c r="F76" s="86">
        <v>6.5625000000000003E-2</v>
      </c>
      <c r="G76" s="86">
        <v>6.5997700000000006E-2</v>
      </c>
      <c r="H76" s="86">
        <v>6.7500000000000004E-2</v>
      </c>
      <c r="I76" s="86"/>
      <c r="J76" s="87"/>
      <c r="K76" s="87"/>
      <c r="L76" s="88"/>
      <c r="M76" s="88">
        <v>3020000</v>
      </c>
      <c r="N76" s="88">
        <v>0</v>
      </c>
      <c r="O76" s="88">
        <v>0</v>
      </c>
      <c r="P76" s="89"/>
      <c r="Q76" s="90">
        <v>6.4699999999999994E-2</v>
      </c>
      <c r="R76" s="54">
        <v>0</v>
      </c>
      <c r="S76" s="55">
        <v>0</v>
      </c>
      <c r="T76" s="55"/>
    </row>
    <row r="77" spans="1:23" ht="13.5" customHeight="1" x14ac:dyDescent="0.2">
      <c r="A77" s="92"/>
      <c r="B77" s="93"/>
      <c r="C77" s="83" t="s">
        <v>32</v>
      </c>
      <c r="D77" s="84">
        <v>48380</v>
      </c>
      <c r="E77" s="86">
        <v>8.2500000000000004E-2</v>
      </c>
      <c r="F77" s="86">
        <v>6.9062499999999999E-2</v>
      </c>
      <c r="G77" s="86">
        <v>6.9961999999999996E-2</v>
      </c>
      <c r="H77" s="86">
        <v>7.2499999999999995E-2</v>
      </c>
      <c r="I77" s="86"/>
      <c r="J77" s="87"/>
      <c r="K77" s="87"/>
      <c r="L77" s="88"/>
      <c r="M77" s="88">
        <v>2362000</v>
      </c>
      <c r="N77" s="88">
        <v>0</v>
      </c>
      <c r="O77" s="88">
        <v>0</v>
      </c>
      <c r="P77" s="89"/>
      <c r="Q77" s="90">
        <v>6.8500000000000005E-2</v>
      </c>
      <c r="R77" s="54">
        <v>1.9887751488813776E-3</v>
      </c>
      <c r="S77" s="55">
        <v>29293528.561597757</v>
      </c>
      <c r="T77" s="60"/>
    </row>
    <row r="78" spans="1:23" ht="13.5" customHeight="1" x14ac:dyDescent="0.2">
      <c r="A78" s="392">
        <v>41016</v>
      </c>
      <c r="B78" s="394">
        <v>41024</v>
      </c>
      <c r="C78" s="69" t="s">
        <v>68</v>
      </c>
      <c r="D78" s="70">
        <v>44676</v>
      </c>
      <c r="E78" s="71">
        <v>3.7499999999999999E-2</v>
      </c>
      <c r="F78" s="72"/>
      <c r="G78" s="72"/>
      <c r="H78" s="72"/>
      <c r="I78" s="72"/>
      <c r="J78" s="73"/>
      <c r="K78" s="73"/>
      <c r="L78" s="102">
        <v>20000000</v>
      </c>
      <c r="M78" s="75" t="s">
        <v>71</v>
      </c>
      <c r="N78" s="75" t="s">
        <v>69</v>
      </c>
      <c r="O78" s="75" t="s">
        <v>69</v>
      </c>
      <c r="P78" s="101"/>
      <c r="Q78" s="77"/>
      <c r="R78" s="54"/>
      <c r="U78" s="2">
        <f>U79*5900</f>
        <v>54221000</v>
      </c>
      <c r="V78" s="2">
        <f>U79*2000</f>
        <v>18380000</v>
      </c>
      <c r="W78" s="2">
        <f>U79*2000</f>
        <v>18380000</v>
      </c>
    </row>
    <row r="79" spans="1:23" ht="13.5" customHeight="1" x14ac:dyDescent="0.2">
      <c r="A79" s="393"/>
      <c r="B79" s="395"/>
      <c r="C79" s="17"/>
      <c r="D79" s="18"/>
      <c r="E79" s="67"/>
      <c r="F79" s="62"/>
      <c r="G79" s="62"/>
      <c r="H79" s="62"/>
      <c r="I79" s="62"/>
      <c r="J79" s="27"/>
      <c r="K79" s="103"/>
      <c r="L79" s="154"/>
      <c r="M79" s="63">
        <f>U78</f>
        <v>54221000</v>
      </c>
      <c r="N79" s="63">
        <f>V78</f>
        <v>18380000</v>
      </c>
      <c r="O79" s="63">
        <f>W78</f>
        <v>18380000</v>
      </c>
      <c r="P79" s="64">
        <f>M79/O79</f>
        <v>2.95</v>
      </c>
      <c r="Q79" s="65"/>
      <c r="R79" s="54">
        <f>O79*J79/$O$52</f>
        <v>0</v>
      </c>
      <c r="U79" s="2">
        <v>9190</v>
      </c>
    </row>
    <row r="80" spans="1:23" ht="13.5" customHeight="1" x14ac:dyDescent="0.2">
      <c r="A80" s="393"/>
      <c r="B80" s="395"/>
      <c r="C80" s="69" t="s">
        <v>39</v>
      </c>
      <c r="D80" s="70">
        <v>51883</v>
      </c>
      <c r="E80" s="71">
        <v>5.2499999999999998E-2</v>
      </c>
      <c r="F80" s="72"/>
      <c r="G80" s="72"/>
      <c r="H80" s="72"/>
      <c r="I80" s="72"/>
      <c r="J80" s="73"/>
      <c r="K80" s="104"/>
      <c r="L80" s="154"/>
      <c r="M80" s="75" t="s">
        <v>69</v>
      </c>
      <c r="N80" s="75" t="s">
        <v>41</v>
      </c>
      <c r="O80" s="75" t="s">
        <v>70</v>
      </c>
      <c r="P80" s="76"/>
      <c r="Q80" s="77"/>
      <c r="R80" s="54"/>
      <c r="U80" s="2">
        <f>U81*2000</f>
        <v>18380000</v>
      </c>
      <c r="V80" s="2">
        <f>U81*500</f>
        <v>4595000</v>
      </c>
      <c r="W80" s="2">
        <f>U81*500</f>
        <v>4595000</v>
      </c>
    </row>
    <row r="81" spans="1:21" ht="13.5" customHeight="1" x14ac:dyDescent="0.2">
      <c r="A81" s="393"/>
      <c r="B81" s="395"/>
      <c r="C81" s="17"/>
      <c r="D81" s="18"/>
      <c r="E81" s="67"/>
      <c r="F81" s="62"/>
      <c r="G81" s="62"/>
      <c r="H81" s="62"/>
      <c r="I81" s="62"/>
      <c r="J81" s="27"/>
      <c r="K81" s="103"/>
      <c r="L81" s="154"/>
      <c r="M81" s="63">
        <f>U80</f>
        <v>18380000</v>
      </c>
      <c r="N81" s="63">
        <f>V80</f>
        <v>4595000</v>
      </c>
      <c r="O81" s="63">
        <f>W80</f>
        <v>4595000</v>
      </c>
      <c r="P81" s="64">
        <f t="shared" ref="P81:P97" si="5">M81/O81</f>
        <v>4</v>
      </c>
      <c r="Q81" s="65"/>
      <c r="R81" s="54">
        <f>O81*J81/$O$52</f>
        <v>0</v>
      </c>
      <c r="U81" s="2">
        <v>9190</v>
      </c>
    </row>
    <row r="82" spans="1:21" ht="13.5" customHeight="1" x14ac:dyDescent="0.2">
      <c r="A82" s="81">
        <v>41023</v>
      </c>
      <c r="B82" s="81">
        <v>41026</v>
      </c>
      <c r="C82" s="113" t="s">
        <v>48</v>
      </c>
      <c r="D82" s="114">
        <v>43146</v>
      </c>
      <c r="E82" s="116">
        <v>4.4499999999999998E-2</v>
      </c>
      <c r="F82" s="116">
        <v>5.3124999999999999E-2</v>
      </c>
      <c r="G82" s="116"/>
      <c r="H82" s="116">
        <v>6.25E-2</v>
      </c>
      <c r="I82" s="116"/>
      <c r="J82" s="117">
        <v>5.3124999999999999E-2</v>
      </c>
      <c r="K82" s="117"/>
      <c r="L82" s="118">
        <v>1000000</v>
      </c>
      <c r="M82" s="118">
        <v>2674000</v>
      </c>
      <c r="N82" s="118"/>
      <c r="O82" s="118">
        <v>1500000</v>
      </c>
      <c r="P82" s="119">
        <f t="shared" si="5"/>
        <v>1.7826666666666666</v>
      </c>
      <c r="Q82" s="120"/>
      <c r="R82" s="54"/>
      <c r="S82" s="55"/>
      <c r="T82" s="55"/>
    </row>
    <row r="83" spans="1:21" ht="13.5" customHeight="1" x14ac:dyDescent="0.2">
      <c r="A83" s="81"/>
      <c r="B83" s="81"/>
      <c r="C83" s="83" t="s">
        <v>49</v>
      </c>
      <c r="D83" s="84">
        <v>44576</v>
      </c>
      <c r="E83" s="86">
        <v>5.45E-2</v>
      </c>
      <c r="F83" s="86">
        <v>6.1562499999999999E-2</v>
      </c>
      <c r="G83" s="86"/>
      <c r="H83" s="86">
        <v>6.7500000000000004E-2</v>
      </c>
      <c r="I83" s="86"/>
      <c r="J83" s="87"/>
      <c r="K83" s="87"/>
      <c r="L83" s="88"/>
      <c r="M83" s="88">
        <v>441000</v>
      </c>
      <c r="N83" s="88"/>
      <c r="O83" s="88">
        <v>0</v>
      </c>
      <c r="P83" s="89" t="e">
        <f t="shared" si="5"/>
        <v>#DIV/0!</v>
      </c>
      <c r="Q83" s="90"/>
      <c r="R83" s="54" t="e">
        <f>O83*J83/$O$43</f>
        <v>#DIV/0!</v>
      </c>
      <c r="S83" s="55">
        <f>O83*J83/$R$10</f>
        <v>0</v>
      </c>
      <c r="T83" s="55"/>
    </row>
    <row r="84" spans="1:21" ht="13.5" customHeight="1" x14ac:dyDescent="0.2">
      <c r="A84" s="92"/>
      <c r="B84" s="91"/>
      <c r="C84" s="83" t="s">
        <v>50</v>
      </c>
      <c r="D84" s="84">
        <v>46402</v>
      </c>
      <c r="E84" s="86">
        <v>0.06</v>
      </c>
      <c r="F84" s="86">
        <v>6.5000000000000002E-2</v>
      </c>
      <c r="G84" s="86"/>
      <c r="H84" s="86">
        <v>7.0000000000000007E-2</v>
      </c>
      <c r="I84" s="86"/>
      <c r="J84" s="87">
        <v>6.5302399999999997E-2</v>
      </c>
      <c r="K84" s="87"/>
      <c r="L84" s="88"/>
      <c r="M84" s="88">
        <v>841000</v>
      </c>
      <c r="N84" s="88"/>
      <c r="O84" s="88">
        <v>320000</v>
      </c>
      <c r="P84" s="89">
        <f t="shared" si="5"/>
        <v>2.6281249999999998</v>
      </c>
      <c r="Q84" s="90"/>
      <c r="R84" s="54" t="e">
        <f>O84*J84/$O$43</f>
        <v>#DIV/0!</v>
      </c>
      <c r="S84" s="55">
        <f>O84*J84/$R$10</f>
        <v>21413325.071113043</v>
      </c>
      <c r="T84" s="55"/>
    </row>
    <row r="85" spans="1:21" ht="13.5" customHeight="1" x14ac:dyDescent="0.2">
      <c r="A85" s="131"/>
      <c r="B85" s="132"/>
      <c r="C85" s="133" t="s">
        <v>53</v>
      </c>
      <c r="D85" s="134">
        <v>50086</v>
      </c>
      <c r="E85" s="135">
        <v>6.0999999999999999E-2</v>
      </c>
      <c r="F85" s="135">
        <v>6.906255E-2</v>
      </c>
      <c r="G85" s="135"/>
      <c r="H85" s="135">
        <v>7.2499999999999995E-2</v>
      </c>
      <c r="I85" s="135"/>
      <c r="J85" s="136"/>
      <c r="K85" s="136"/>
      <c r="L85" s="137"/>
      <c r="M85" s="137">
        <v>235000</v>
      </c>
      <c r="N85" s="137"/>
      <c r="O85" s="137">
        <v>0</v>
      </c>
      <c r="P85" s="138" t="e">
        <f t="shared" si="5"/>
        <v>#DIV/0!</v>
      </c>
      <c r="Q85" s="139"/>
      <c r="R85" s="54" t="e">
        <f>O85*J85/$O$43</f>
        <v>#DIV/0!</v>
      </c>
      <c r="S85" s="55">
        <f>O85*J85/$R$10</f>
        <v>0</v>
      </c>
      <c r="T85" s="55"/>
    </row>
    <row r="86" spans="1:21" s="111" customFormat="1" ht="13.5" customHeight="1" x14ac:dyDescent="0.2">
      <c r="A86" s="112">
        <v>41026</v>
      </c>
      <c r="B86" s="112">
        <v>41026</v>
      </c>
      <c r="C86" s="113" t="s">
        <v>74</v>
      </c>
      <c r="D86" s="114">
        <v>42487</v>
      </c>
      <c r="E86" s="115">
        <v>5.0299999999999997E-2</v>
      </c>
      <c r="F86" s="116"/>
      <c r="G86" s="116"/>
      <c r="H86" s="116"/>
      <c r="I86" s="116"/>
      <c r="J86" s="117">
        <v>5.0299999999999997E-2</v>
      </c>
      <c r="K86" s="117"/>
      <c r="L86" s="118">
        <v>2500000</v>
      </c>
      <c r="M86" s="118">
        <v>1000000</v>
      </c>
      <c r="N86" s="118">
        <v>1000000</v>
      </c>
      <c r="O86" s="118">
        <v>1000000</v>
      </c>
      <c r="P86" s="119">
        <f t="shared" si="5"/>
        <v>1</v>
      </c>
      <c r="Q86" s="120"/>
      <c r="R86" s="109"/>
      <c r="S86" s="110">
        <f>O86*J86/$R$10</f>
        <v>51543389.440749206</v>
      </c>
      <c r="T86" s="110"/>
    </row>
    <row r="87" spans="1:21" s="111" customFormat="1" ht="13.5" customHeight="1" x14ac:dyDescent="0.2">
      <c r="A87" s="121"/>
      <c r="B87" s="122"/>
      <c r="C87" s="123" t="s">
        <v>75</v>
      </c>
      <c r="D87" s="124">
        <v>43948</v>
      </c>
      <c r="E87" s="125">
        <v>5.79E-2</v>
      </c>
      <c r="F87" s="126"/>
      <c r="G87" s="126"/>
      <c r="H87" s="126"/>
      <c r="I87" s="126"/>
      <c r="J87" s="127">
        <v>5.79E-2</v>
      </c>
      <c r="K87" s="127"/>
      <c r="L87" s="128"/>
      <c r="M87" s="128">
        <v>1500000</v>
      </c>
      <c r="N87" s="128">
        <v>1500000</v>
      </c>
      <c r="O87" s="128">
        <v>1500000</v>
      </c>
      <c r="P87" s="129">
        <f t="shared" si="5"/>
        <v>1</v>
      </c>
      <c r="Q87" s="130"/>
      <c r="R87" s="109"/>
      <c r="S87" s="110"/>
      <c r="T87" s="110"/>
    </row>
    <row r="88" spans="1:21" ht="13.5" customHeight="1" x14ac:dyDescent="0.2">
      <c r="A88" s="81">
        <v>41031</v>
      </c>
      <c r="B88" s="81">
        <v>41033</v>
      </c>
      <c r="C88" s="83" t="s">
        <v>78</v>
      </c>
      <c r="D88" s="84">
        <v>41396</v>
      </c>
      <c r="E88" s="85">
        <v>0</v>
      </c>
      <c r="F88" s="86">
        <v>0.04</v>
      </c>
      <c r="G88" s="86">
        <v>4.0236899999999999E-2</v>
      </c>
      <c r="H88" s="86">
        <v>4.4999999999999998E-2</v>
      </c>
      <c r="I88" s="86">
        <v>0.04</v>
      </c>
      <c r="J88" s="87">
        <v>4.0468799999999999E-2</v>
      </c>
      <c r="K88" s="87">
        <v>4.0625000000000001E-2</v>
      </c>
      <c r="L88" s="88">
        <v>6000000</v>
      </c>
      <c r="M88" s="88">
        <v>3550000</v>
      </c>
      <c r="N88" s="88">
        <v>900000</v>
      </c>
      <c r="O88" s="88">
        <v>900000</v>
      </c>
      <c r="P88" s="89">
        <f t="shared" si="5"/>
        <v>3.9444444444444446</v>
      </c>
      <c r="Q88" s="90">
        <v>4.0500000000000001E-2</v>
      </c>
      <c r="R88" s="54"/>
      <c r="S88" s="55">
        <f>O88*J88/$R$10</f>
        <v>37322250.631010182</v>
      </c>
      <c r="T88" s="55"/>
    </row>
    <row r="89" spans="1:21" ht="13.5" customHeight="1" x14ac:dyDescent="0.2">
      <c r="A89" s="92"/>
      <c r="B89" s="93"/>
      <c r="C89" s="83" t="s">
        <v>34</v>
      </c>
      <c r="D89" s="84">
        <v>42840</v>
      </c>
      <c r="E89" s="86">
        <v>6.25E-2</v>
      </c>
      <c r="F89" s="86">
        <v>5.1562499999999997E-2</v>
      </c>
      <c r="G89" s="86">
        <v>5.3037599999999997E-2</v>
      </c>
      <c r="H89" s="86">
        <v>5.5625000000000001E-2</v>
      </c>
      <c r="I89" s="86">
        <v>5.1562499999999997E-2</v>
      </c>
      <c r="J89" s="87">
        <v>5.2581299999999997E-2</v>
      </c>
      <c r="K89" s="87">
        <v>5.3124999999999999E-2</v>
      </c>
      <c r="L89" s="88"/>
      <c r="M89" s="88">
        <v>1562000</v>
      </c>
      <c r="N89" s="88">
        <v>1050000</v>
      </c>
      <c r="O89" s="88">
        <v>1050000</v>
      </c>
      <c r="P89" s="89">
        <f t="shared" si="5"/>
        <v>1.4876190476190476</v>
      </c>
      <c r="Q89" s="90">
        <v>5.2600000000000001E-2</v>
      </c>
      <c r="R89" s="54">
        <v>0</v>
      </c>
      <c r="S89" s="55">
        <v>0</v>
      </c>
      <c r="T89" s="55"/>
    </row>
    <row r="90" spans="1:21" ht="13.5" customHeight="1" x14ac:dyDescent="0.2">
      <c r="A90" s="92"/>
      <c r="B90" s="93"/>
      <c r="C90" s="83" t="s">
        <v>35</v>
      </c>
      <c r="D90" s="84">
        <v>44696</v>
      </c>
      <c r="E90" s="86">
        <v>7.0000000000000007E-2</v>
      </c>
      <c r="F90" s="86">
        <v>5.9687499999999998E-2</v>
      </c>
      <c r="G90" s="86">
        <v>6.0570300000000001E-2</v>
      </c>
      <c r="H90" s="86">
        <v>6.2812499999999993E-2</v>
      </c>
      <c r="I90" s="86">
        <v>5.9687499999999998E-2</v>
      </c>
      <c r="J90" s="87">
        <v>6.02964E-2</v>
      </c>
      <c r="K90" s="87">
        <v>6.0937499999999999E-2</v>
      </c>
      <c r="L90" s="88"/>
      <c r="M90" s="88">
        <v>3747500</v>
      </c>
      <c r="N90" s="88">
        <v>2750000</v>
      </c>
      <c r="O90" s="88">
        <v>2750000</v>
      </c>
      <c r="P90" s="89">
        <f t="shared" si="5"/>
        <v>1.3627272727272728</v>
      </c>
      <c r="Q90" s="90">
        <v>6.0299999999999999E-2</v>
      </c>
      <c r="R90" s="54">
        <v>0</v>
      </c>
      <c r="S90" s="55">
        <v>0</v>
      </c>
      <c r="T90" s="55"/>
    </row>
    <row r="91" spans="1:21" ht="13.5" customHeight="1" x14ac:dyDescent="0.2">
      <c r="A91" s="92"/>
      <c r="B91" s="93"/>
      <c r="C91" s="83" t="s">
        <v>32</v>
      </c>
      <c r="D91" s="84">
        <v>48380</v>
      </c>
      <c r="E91" s="86">
        <v>8.2500000000000004E-2</v>
      </c>
      <c r="F91" s="86">
        <v>6.7812499999999998E-2</v>
      </c>
      <c r="G91" s="86">
        <v>6.8773000000000001E-2</v>
      </c>
      <c r="H91" s="86">
        <v>7.0937500000000001E-2</v>
      </c>
      <c r="I91" s="86">
        <v>6.7812499999999998E-2</v>
      </c>
      <c r="J91" s="87">
        <v>6.8396399999999996E-2</v>
      </c>
      <c r="K91" s="87">
        <v>6.8750000000000006E-2</v>
      </c>
      <c r="L91" s="88"/>
      <c r="M91" s="88">
        <v>5862000</v>
      </c>
      <c r="N91" s="88">
        <v>2850000</v>
      </c>
      <c r="O91" s="88">
        <v>2850000</v>
      </c>
      <c r="P91" s="89">
        <f t="shared" si="5"/>
        <v>2.0568421052631578</v>
      </c>
      <c r="Q91" s="90">
        <v>6.8400000000000002E-2</v>
      </c>
      <c r="R91" s="54">
        <v>1.9887751488813776E-3</v>
      </c>
      <c r="S91" s="55">
        <v>29293528.561597757</v>
      </c>
      <c r="T91" s="60"/>
    </row>
    <row r="92" spans="1:21" ht="13.5" customHeight="1" x14ac:dyDescent="0.2">
      <c r="A92" s="58">
        <v>41037</v>
      </c>
      <c r="B92" s="59">
        <v>41039</v>
      </c>
      <c r="C92" s="17" t="s">
        <v>79</v>
      </c>
      <c r="D92" s="18">
        <v>41222</v>
      </c>
      <c r="E92" s="96"/>
      <c r="F92" s="26">
        <v>3.8124999999999999E-2</v>
      </c>
      <c r="G92" s="26"/>
      <c r="H92" s="26">
        <v>0.05</v>
      </c>
      <c r="I92" s="26"/>
      <c r="J92" s="26">
        <v>3.8288700000000002E-2</v>
      </c>
      <c r="K92" s="27"/>
      <c r="L92" s="21">
        <v>1000000</v>
      </c>
      <c r="M92" s="21">
        <v>1596000</v>
      </c>
      <c r="N92" s="21">
        <v>150000</v>
      </c>
      <c r="O92" s="21">
        <v>150000</v>
      </c>
      <c r="P92" s="64">
        <f t="shared" si="5"/>
        <v>10.64</v>
      </c>
      <c r="Q92" s="54"/>
      <c r="R92" s="54"/>
      <c r="S92" s="55">
        <f>O92*J92/$R$10</f>
        <v>5885276.4670378156</v>
      </c>
      <c r="T92" s="55"/>
    </row>
    <row r="93" spans="1:21" ht="13.5" customHeight="1" x14ac:dyDescent="0.2">
      <c r="A93" s="16"/>
      <c r="B93" s="1"/>
      <c r="C93" s="17" t="s">
        <v>48</v>
      </c>
      <c r="D93" s="18">
        <v>43146</v>
      </c>
      <c r="E93" s="96">
        <v>4.4499999999999998E-2</v>
      </c>
      <c r="F93" s="26">
        <v>5.6250000000000001E-2</v>
      </c>
      <c r="G93" s="26"/>
      <c r="H93" s="26">
        <v>6.5000000000000002E-2</v>
      </c>
      <c r="I93" s="26"/>
      <c r="J93" s="27"/>
      <c r="K93" s="27"/>
      <c r="L93" s="21"/>
      <c r="M93" s="21">
        <v>207000</v>
      </c>
      <c r="N93" s="21"/>
      <c r="O93" s="21"/>
      <c r="P93" s="64"/>
      <c r="Q93" s="54"/>
      <c r="R93" s="54"/>
      <c r="S93" s="55"/>
      <c r="T93" s="55"/>
    </row>
    <row r="94" spans="1:21" ht="13.5" customHeight="1" x14ac:dyDescent="0.2">
      <c r="A94" s="16"/>
      <c r="B94" s="1"/>
      <c r="C94" s="17" t="s">
        <v>49</v>
      </c>
      <c r="D94" s="18">
        <v>44576</v>
      </c>
      <c r="E94" s="96">
        <v>5.45E-2</v>
      </c>
      <c r="F94" s="26">
        <v>6.1874999999999999E-2</v>
      </c>
      <c r="G94" s="26"/>
      <c r="H94" s="26">
        <v>7.0000000000000007E-2</v>
      </c>
      <c r="I94" s="26"/>
      <c r="J94" s="27">
        <v>6.2195100000000003E-2</v>
      </c>
      <c r="K94" s="27"/>
      <c r="L94" s="21"/>
      <c r="M94" s="21">
        <v>361000</v>
      </c>
      <c r="N94" s="21">
        <v>225000</v>
      </c>
      <c r="O94" s="21">
        <v>225000</v>
      </c>
      <c r="P94" s="64">
        <f t="shared" si="5"/>
        <v>1.6044444444444443</v>
      </c>
      <c r="Q94" s="54"/>
      <c r="R94" s="54" t="e">
        <f>O94*J94/$O$43</f>
        <v>#DIV/0!</v>
      </c>
      <c r="S94" s="55">
        <f>O94*J94/$R$10</f>
        <v>14339819.257185424</v>
      </c>
      <c r="T94" s="55"/>
    </row>
    <row r="95" spans="1:21" ht="13.5" customHeight="1" x14ac:dyDescent="0.2">
      <c r="A95" s="16"/>
      <c r="B95" s="1"/>
      <c r="C95" s="17" t="s">
        <v>50</v>
      </c>
      <c r="D95" s="18">
        <v>46402</v>
      </c>
      <c r="E95" s="26">
        <v>0.06</v>
      </c>
      <c r="F95" s="26">
        <v>6.5625000000000003E-2</v>
      </c>
      <c r="G95" s="26"/>
      <c r="H95" s="26">
        <v>7.7499999999999999E-2</v>
      </c>
      <c r="I95" s="26"/>
      <c r="J95" s="27">
        <v>6.6106200000000004E-2</v>
      </c>
      <c r="K95" s="27"/>
      <c r="L95" s="21"/>
      <c r="M95" s="21">
        <v>651000</v>
      </c>
      <c r="N95" s="21">
        <v>640000</v>
      </c>
      <c r="O95" s="21">
        <v>640000</v>
      </c>
      <c r="P95" s="64">
        <f t="shared" si="5"/>
        <v>1.0171874999999999</v>
      </c>
      <c r="Q95" s="100"/>
      <c r="R95" s="54" t="e">
        <f>O95*J95/$O$43</f>
        <v>#DIV/0!</v>
      </c>
      <c r="S95" s="55">
        <f>O95*J95/$R$10</f>
        <v>43353798.629637286</v>
      </c>
      <c r="T95" s="55"/>
    </row>
    <row r="96" spans="1:21" ht="13.5" customHeight="1" x14ac:dyDescent="0.2">
      <c r="A96" s="16"/>
      <c r="B96" s="1"/>
      <c r="C96" s="17" t="s">
        <v>53</v>
      </c>
      <c r="D96" s="18">
        <v>50086</v>
      </c>
      <c r="E96" s="26">
        <v>6.0999999999999999E-2</v>
      </c>
      <c r="F96" s="26">
        <v>6.9375000000000006E-2</v>
      </c>
      <c r="G96" s="26"/>
      <c r="H96" s="26">
        <v>7.1874999999999994E-2</v>
      </c>
      <c r="I96" s="26"/>
      <c r="J96" s="27"/>
      <c r="K96" s="27"/>
      <c r="L96" s="21"/>
      <c r="M96" s="21">
        <v>264000</v>
      </c>
      <c r="N96" s="21"/>
      <c r="O96" s="21"/>
      <c r="P96" s="64"/>
      <c r="Q96" s="100"/>
      <c r="R96" s="54" t="e">
        <f>O96*J96/$O$43</f>
        <v>#DIV/0!</v>
      </c>
      <c r="S96" s="55">
        <f>O96*J96/$R$10</f>
        <v>0</v>
      </c>
      <c r="T96" s="55"/>
    </row>
    <row r="97" spans="1:20" ht="13.5" customHeight="1" x14ac:dyDescent="0.2">
      <c r="A97" s="58">
        <v>41038</v>
      </c>
      <c r="B97" s="59">
        <v>41039</v>
      </c>
      <c r="C97" s="17" t="s">
        <v>80</v>
      </c>
      <c r="D97" s="18">
        <v>41222</v>
      </c>
      <c r="E97" s="26"/>
      <c r="F97" s="26"/>
      <c r="G97" s="26"/>
      <c r="H97" s="26"/>
      <c r="I97" s="26"/>
      <c r="J97" s="26">
        <v>3.8288700000000002E-2</v>
      </c>
      <c r="K97" s="27"/>
      <c r="L97" s="21"/>
      <c r="M97" s="21">
        <v>755000</v>
      </c>
      <c r="N97" s="21">
        <v>755000</v>
      </c>
      <c r="O97" s="21">
        <v>755000</v>
      </c>
      <c r="P97" s="64">
        <f t="shared" si="5"/>
        <v>1</v>
      </c>
      <c r="Q97" s="100"/>
      <c r="R97" s="54"/>
      <c r="S97" s="55"/>
      <c r="T97" s="55"/>
    </row>
    <row r="98" spans="1:20" ht="13.5" customHeight="1" x14ac:dyDescent="0.2">
      <c r="A98" s="112">
        <v>41043</v>
      </c>
      <c r="B98" s="112">
        <v>41045</v>
      </c>
      <c r="C98" s="113" t="s">
        <v>81</v>
      </c>
      <c r="D98" s="114">
        <v>41108</v>
      </c>
      <c r="E98" s="115">
        <v>0</v>
      </c>
      <c r="F98" s="116">
        <v>3.5000000000000003E-2</v>
      </c>
      <c r="G98" s="116">
        <v>4.0708599999999998E-2</v>
      </c>
      <c r="H98" s="116">
        <v>4.2500000000000003E-2</v>
      </c>
      <c r="I98" s="116"/>
      <c r="J98" s="117"/>
      <c r="K98" s="117"/>
      <c r="L98" s="118">
        <v>6000000</v>
      </c>
      <c r="M98" s="118">
        <v>2655000</v>
      </c>
      <c r="N98" s="118">
        <v>0</v>
      </c>
      <c r="O98" s="118">
        <v>0</v>
      </c>
      <c r="P98" s="119">
        <v>0</v>
      </c>
      <c r="Q98" s="120">
        <v>3.2899999999999999E-2</v>
      </c>
      <c r="R98" s="54"/>
      <c r="S98" s="55">
        <f>O98*J98/$R$10</f>
        <v>0</v>
      </c>
      <c r="T98" s="55"/>
    </row>
    <row r="99" spans="1:20" ht="13.5" customHeight="1" x14ac:dyDescent="0.2">
      <c r="A99" s="92"/>
      <c r="B99" s="91"/>
      <c r="C99" s="83" t="s">
        <v>82</v>
      </c>
      <c r="D99" s="84">
        <v>41368</v>
      </c>
      <c r="E99" s="85">
        <v>0</v>
      </c>
      <c r="F99" s="86">
        <v>4.1875000000000002E-2</v>
      </c>
      <c r="G99" s="86">
        <v>4.6793800000000003E-2</v>
      </c>
      <c r="H99" s="86">
        <v>0.05</v>
      </c>
      <c r="I99" s="86"/>
      <c r="J99" s="87"/>
      <c r="K99" s="87"/>
      <c r="L99" s="88"/>
      <c r="M99" s="88">
        <v>2780000</v>
      </c>
      <c r="N99" s="88">
        <v>0</v>
      </c>
      <c r="O99" s="88">
        <v>0</v>
      </c>
      <c r="P99" s="89">
        <v>0</v>
      </c>
      <c r="Q99" s="90">
        <v>3.9699999999999999E-2</v>
      </c>
      <c r="R99" s="54"/>
      <c r="S99" s="55"/>
      <c r="T99" s="55"/>
    </row>
    <row r="100" spans="1:20" ht="13.5" customHeight="1" x14ac:dyDescent="0.2">
      <c r="A100" s="92"/>
      <c r="B100" s="93"/>
      <c r="C100" s="83" t="s">
        <v>35</v>
      </c>
      <c r="D100" s="84">
        <v>44696</v>
      </c>
      <c r="E100" s="86">
        <v>7.0000000000000007E-2</v>
      </c>
      <c r="F100" s="86">
        <v>6.2812499999999993E-2</v>
      </c>
      <c r="G100" s="86">
        <v>6.4113299999999998E-2</v>
      </c>
      <c r="H100" s="86">
        <v>6.5937499999999996E-2</v>
      </c>
      <c r="I100" s="86">
        <v>6.2812499999999993E-2</v>
      </c>
      <c r="J100" s="87">
        <v>6.2980800000000003E-2</v>
      </c>
      <c r="K100" s="87">
        <v>6.3125000000000001E-2</v>
      </c>
      <c r="L100" s="88"/>
      <c r="M100" s="88">
        <v>3511000</v>
      </c>
      <c r="N100" s="88">
        <v>500000</v>
      </c>
      <c r="O100" s="88">
        <v>500000</v>
      </c>
      <c r="P100" s="89">
        <f>M100/O100</f>
        <v>7.0220000000000002</v>
      </c>
      <c r="Q100" s="90">
        <v>6.3E-2</v>
      </c>
      <c r="R100" s="54">
        <v>0</v>
      </c>
      <c r="S100" s="55">
        <v>0</v>
      </c>
      <c r="T100" s="55"/>
    </row>
    <row r="101" spans="1:20" ht="13.5" customHeight="1" x14ac:dyDescent="0.2">
      <c r="A101" s="92"/>
      <c r="B101" s="93"/>
      <c r="C101" s="83" t="s">
        <v>43</v>
      </c>
      <c r="D101" s="84">
        <v>46522</v>
      </c>
      <c r="E101" s="86">
        <v>7.0000000000000007E-2</v>
      </c>
      <c r="F101" s="86">
        <v>6.6875000000000004E-2</v>
      </c>
      <c r="G101" s="86">
        <v>6.7849499999999993E-2</v>
      </c>
      <c r="H101" s="86">
        <v>7.0000000000000007E-2</v>
      </c>
      <c r="I101" s="86">
        <v>6.6875000000000004E-2</v>
      </c>
      <c r="J101" s="86">
        <v>6.6875000000000004E-2</v>
      </c>
      <c r="K101" s="86">
        <v>6.6875000000000004E-2</v>
      </c>
      <c r="L101" s="88"/>
      <c r="M101" s="88">
        <v>2100000</v>
      </c>
      <c r="N101" s="88">
        <v>300000</v>
      </c>
      <c r="O101" s="88">
        <v>275000</v>
      </c>
      <c r="P101" s="89">
        <f>M101/O101</f>
        <v>7.6363636363636367</v>
      </c>
      <c r="Q101" s="90">
        <v>6.6900000000000001E-2</v>
      </c>
      <c r="R101" s="54">
        <v>0</v>
      </c>
      <c r="S101" s="55">
        <v>0</v>
      </c>
      <c r="T101" s="55"/>
    </row>
    <row r="102" spans="1:20" ht="13.5" customHeight="1" x14ac:dyDescent="0.2">
      <c r="A102" s="121"/>
      <c r="B102" s="141"/>
      <c r="C102" s="123" t="s">
        <v>32</v>
      </c>
      <c r="D102" s="124">
        <v>48380</v>
      </c>
      <c r="E102" s="126">
        <v>8.2500000000000004E-2</v>
      </c>
      <c r="F102" s="126">
        <v>7.0000000000000007E-2</v>
      </c>
      <c r="G102" s="126">
        <v>7.1698100000000001E-2</v>
      </c>
      <c r="H102" s="126">
        <v>7.4999999999999997E-2</v>
      </c>
      <c r="I102" s="126"/>
      <c r="J102" s="127"/>
      <c r="K102" s="127"/>
      <c r="L102" s="128"/>
      <c r="M102" s="128">
        <v>2263000</v>
      </c>
      <c r="N102" s="128">
        <v>0</v>
      </c>
      <c r="O102" s="128">
        <v>0</v>
      </c>
      <c r="P102" s="129"/>
      <c r="Q102" s="130">
        <v>6.9500000000000006E-2</v>
      </c>
      <c r="R102" s="54">
        <v>1.9887751488813776E-3</v>
      </c>
      <c r="S102" s="55">
        <v>29293528.561597757</v>
      </c>
      <c r="T102" s="60"/>
    </row>
    <row r="103" spans="1:20" ht="13.5" customHeight="1" x14ac:dyDescent="0.2">
      <c r="A103" s="58">
        <v>41051</v>
      </c>
      <c r="B103" s="59">
        <v>41053</v>
      </c>
      <c r="C103" s="17" t="s">
        <v>48</v>
      </c>
      <c r="D103" s="18">
        <v>43146</v>
      </c>
      <c r="E103" s="96">
        <v>4.4499999999999998E-2</v>
      </c>
      <c r="F103" s="26"/>
      <c r="G103" s="26"/>
      <c r="H103" s="26"/>
      <c r="I103" s="26"/>
      <c r="J103" s="27"/>
      <c r="K103" s="27"/>
      <c r="L103" s="21">
        <v>1000000</v>
      </c>
      <c r="M103" s="21">
        <v>145000</v>
      </c>
      <c r="N103" s="21">
        <v>115000</v>
      </c>
      <c r="O103" s="21">
        <v>115000</v>
      </c>
      <c r="P103" s="64"/>
      <c r="Q103" s="54"/>
      <c r="R103" s="54"/>
      <c r="S103" s="55">
        <f>O103*J103/$R$10</f>
        <v>0</v>
      </c>
      <c r="T103" s="55"/>
    </row>
    <row r="104" spans="1:20" ht="13.5" customHeight="1" x14ac:dyDescent="0.2">
      <c r="A104" s="16"/>
      <c r="B104" s="1"/>
      <c r="C104" s="17" t="s">
        <v>49</v>
      </c>
      <c r="D104" s="18">
        <v>44576</v>
      </c>
      <c r="E104" s="96">
        <v>5.45E-2</v>
      </c>
      <c r="F104" s="26"/>
      <c r="G104" s="26"/>
      <c r="H104" s="26"/>
      <c r="I104" s="26"/>
      <c r="J104" s="27"/>
      <c r="K104" s="27"/>
      <c r="L104" s="21"/>
      <c r="M104" s="21">
        <v>306000</v>
      </c>
      <c r="N104" s="21">
        <v>105000</v>
      </c>
      <c r="O104" s="21">
        <v>105000</v>
      </c>
      <c r="P104" s="64"/>
      <c r="Q104" s="54"/>
      <c r="R104" s="54"/>
      <c r="S104" s="55"/>
      <c r="T104" s="55"/>
    </row>
    <row r="105" spans="1:20" ht="13.5" customHeight="1" x14ac:dyDescent="0.2">
      <c r="A105" s="16"/>
      <c r="B105" s="1"/>
      <c r="C105" s="17" t="s">
        <v>50</v>
      </c>
      <c r="D105" s="18">
        <v>46402</v>
      </c>
      <c r="E105" s="26">
        <v>0.06</v>
      </c>
      <c r="F105" s="26"/>
      <c r="G105" s="26"/>
      <c r="H105" s="26"/>
      <c r="I105" s="26"/>
      <c r="J105" s="27"/>
      <c r="K105" s="27"/>
      <c r="L105" s="21"/>
      <c r="M105" s="21">
        <v>124000</v>
      </c>
      <c r="N105" s="21"/>
      <c r="O105" s="21"/>
      <c r="P105" s="64"/>
      <c r="Q105" s="100"/>
      <c r="R105" s="54" t="e">
        <f>O105*J105/$O$43</f>
        <v>#DIV/0!</v>
      </c>
      <c r="S105" s="55">
        <f>O105*J105/$R$10</f>
        <v>0</v>
      </c>
      <c r="T105" s="55"/>
    </row>
    <row r="106" spans="1:20" ht="13.5" customHeight="1" x14ac:dyDescent="0.2">
      <c r="A106" s="16"/>
      <c r="B106" s="1"/>
      <c r="C106" s="17" t="s">
        <v>53</v>
      </c>
      <c r="D106" s="18">
        <v>50086</v>
      </c>
      <c r="E106" s="26">
        <v>6.0999999999999999E-2</v>
      </c>
      <c r="F106" s="26"/>
      <c r="G106" s="26"/>
      <c r="H106" s="26"/>
      <c r="I106" s="26"/>
      <c r="J106" s="27"/>
      <c r="K106" s="27"/>
      <c r="L106" s="21"/>
      <c r="M106" s="21">
        <v>843000</v>
      </c>
      <c r="N106" s="21">
        <v>330000</v>
      </c>
      <c r="O106" s="21">
        <v>330000</v>
      </c>
      <c r="P106" s="64"/>
      <c r="Q106" s="100"/>
      <c r="R106" s="54" t="e">
        <f>O106*J106/$O$43</f>
        <v>#DIV/0!</v>
      </c>
      <c r="S106" s="55">
        <f>O106*J106/$R$10</f>
        <v>0</v>
      </c>
      <c r="T106" s="55"/>
    </row>
    <row r="107" spans="1:20" ht="13.5" customHeight="1" x14ac:dyDescent="0.2">
      <c r="A107" s="58">
        <v>41059</v>
      </c>
      <c r="B107" s="59">
        <v>41059</v>
      </c>
      <c r="C107" s="17" t="s">
        <v>84</v>
      </c>
      <c r="D107" s="18">
        <v>43250</v>
      </c>
      <c r="E107" s="26">
        <v>6.0600000000000001E-2</v>
      </c>
      <c r="F107" s="26"/>
      <c r="G107" s="26"/>
      <c r="H107" s="26"/>
      <c r="I107" s="26"/>
      <c r="J107" s="26">
        <v>6.0600000000000001E-2</v>
      </c>
      <c r="K107" s="27"/>
      <c r="L107" s="21"/>
      <c r="M107" s="21">
        <v>2500000</v>
      </c>
      <c r="N107" s="21">
        <v>2500000</v>
      </c>
      <c r="O107" s="21">
        <v>2500000</v>
      </c>
      <c r="P107" s="64">
        <f>M107/O107</f>
        <v>1</v>
      </c>
      <c r="Q107" s="100"/>
      <c r="R107" s="54"/>
      <c r="S107" s="55"/>
      <c r="T107" s="55"/>
    </row>
    <row r="108" spans="1:20" ht="13.5" customHeight="1" x14ac:dyDescent="0.2">
      <c r="A108" s="112">
        <v>41065</v>
      </c>
      <c r="B108" s="112">
        <v>41067</v>
      </c>
      <c r="C108" s="113" t="s">
        <v>83</v>
      </c>
      <c r="D108" s="114">
        <v>41431</v>
      </c>
      <c r="E108" s="115">
        <v>0</v>
      </c>
      <c r="F108" s="116">
        <v>4.1250000000000002E-2</v>
      </c>
      <c r="G108" s="116">
        <v>4.5435400000000001E-2</v>
      </c>
      <c r="H108" s="116">
        <v>4.8125000000000001E-2</v>
      </c>
      <c r="I108" s="86">
        <v>4.1250000000000002E-2</v>
      </c>
      <c r="J108" s="86">
        <v>4.1250000000000002E-2</v>
      </c>
      <c r="K108" s="86">
        <v>4.1250000000000002E-2</v>
      </c>
      <c r="L108" s="118">
        <v>5000000</v>
      </c>
      <c r="M108" s="118">
        <v>2425000</v>
      </c>
      <c r="N108" s="118">
        <v>1780000</v>
      </c>
      <c r="O108" s="118">
        <v>730000</v>
      </c>
      <c r="P108" s="89">
        <f t="shared" ref="P108:P113" si="6">M108/O108</f>
        <v>3.3219178082191783</v>
      </c>
      <c r="Q108" s="120">
        <v>4.4499999999999998E-2</v>
      </c>
      <c r="R108" s="54"/>
      <c r="S108" s="55">
        <f>O108*J108/$R$10</f>
        <v>30856865.100090668</v>
      </c>
      <c r="T108" s="55"/>
    </row>
    <row r="109" spans="1:20" ht="13.5" customHeight="1" x14ac:dyDescent="0.2">
      <c r="A109" s="92"/>
      <c r="B109" s="91"/>
      <c r="C109" s="83" t="s">
        <v>34</v>
      </c>
      <c r="D109" s="84">
        <v>42840</v>
      </c>
      <c r="E109" s="86">
        <v>6.25E-2</v>
      </c>
      <c r="F109" s="86">
        <v>5.4062499999999999E-2</v>
      </c>
      <c r="G109" s="86">
        <v>5.6661599999999999E-2</v>
      </c>
      <c r="H109" s="86">
        <v>0.06</v>
      </c>
      <c r="I109" s="86">
        <v>5.4062499999999999E-2</v>
      </c>
      <c r="J109" s="86">
        <v>5.5689500000000003E-2</v>
      </c>
      <c r="K109" s="86">
        <v>5.6562500000000002E-2</v>
      </c>
      <c r="L109" s="88"/>
      <c r="M109" s="88">
        <v>2680000</v>
      </c>
      <c r="N109" s="88">
        <v>1550000</v>
      </c>
      <c r="O109" s="88">
        <v>1550000</v>
      </c>
      <c r="P109" s="89">
        <f t="shared" si="6"/>
        <v>1.7290322580645161</v>
      </c>
      <c r="Q109" s="90">
        <v>5.57E-2</v>
      </c>
      <c r="R109" s="54"/>
      <c r="S109" s="55"/>
      <c r="T109" s="55"/>
    </row>
    <row r="110" spans="1:20" ht="13.5" customHeight="1" x14ac:dyDescent="0.2">
      <c r="A110" s="92"/>
      <c r="B110" s="93"/>
      <c r="C110" s="83" t="s">
        <v>35</v>
      </c>
      <c r="D110" s="84">
        <v>44696</v>
      </c>
      <c r="E110" s="86">
        <v>7.0000000000000007E-2</v>
      </c>
      <c r="F110" s="86">
        <v>6.4375000000000002E-2</v>
      </c>
      <c r="G110" s="86">
        <v>6.53035E-2</v>
      </c>
      <c r="H110" s="86">
        <v>6.8750000000000006E-2</v>
      </c>
      <c r="I110" s="86">
        <v>6.4375000000000002E-2</v>
      </c>
      <c r="J110" s="86">
        <v>6.5028199999999994E-2</v>
      </c>
      <c r="K110" s="86">
        <v>6.5625000000000003E-2</v>
      </c>
      <c r="L110" s="88"/>
      <c r="M110" s="88">
        <v>4652000</v>
      </c>
      <c r="N110" s="88">
        <v>3800000</v>
      </c>
      <c r="O110" s="88">
        <v>3500000</v>
      </c>
      <c r="P110" s="89">
        <f t="shared" si="6"/>
        <v>1.3291428571428572</v>
      </c>
      <c r="Q110" s="90">
        <v>6.5100000000000005E-2</v>
      </c>
      <c r="R110" s="54">
        <v>0</v>
      </c>
      <c r="S110" s="55">
        <v>0</v>
      </c>
      <c r="T110" s="55"/>
    </row>
    <row r="111" spans="1:20" ht="13.5" customHeight="1" x14ac:dyDescent="0.2">
      <c r="A111" s="92"/>
      <c r="B111" s="93"/>
      <c r="C111" s="123" t="s">
        <v>32</v>
      </c>
      <c r="D111" s="124">
        <v>48380</v>
      </c>
      <c r="E111" s="126">
        <v>8.2500000000000004E-2</v>
      </c>
      <c r="F111" s="86">
        <v>7.2187500000000002E-2</v>
      </c>
      <c r="G111" s="86">
        <v>7.2802599999999995E-2</v>
      </c>
      <c r="H111" s="86">
        <v>7.3749999999999996E-2</v>
      </c>
      <c r="I111" s="86">
        <v>7.2187500000000002E-2</v>
      </c>
      <c r="J111" s="86">
        <v>7.2480900000000001E-2</v>
      </c>
      <c r="K111" s="86">
        <v>7.2499999999999995E-2</v>
      </c>
      <c r="L111" s="88"/>
      <c r="M111" s="88">
        <v>4410000</v>
      </c>
      <c r="N111" s="88">
        <v>1900000</v>
      </c>
      <c r="O111" s="88">
        <v>1720000</v>
      </c>
      <c r="P111" s="89">
        <f t="shared" si="6"/>
        <v>2.5639534883720931</v>
      </c>
      <c r="Q111" s="90">
        <v>7.2499999999999995E-2</v>
      </c>
      <c r="R111" s="54">
        <v>0</v>
      </c>
      <c r="S111" s="55">
        <v>0</v>
      </c>
      <c r="T111" s="55"/>
    </row>
    <row r="112" spans="1:20" ht="13.5" customHeight="1" x14ac:dyDescent="0.2">
      <c r="A112" s="58">
        <v>41072</v>
      </c>
      <c r="B112" s="59">
        <v>41074</v>
      </c>
      <c r="C112" s="17" t="s">
        <v>85</v>
      </c>
      <c r="D112" s="18"/>
      <c r="E112" s="96"/>
      <c r="F112" s="26"/>
      <c r="G112" s="26"/>
      <c r="H112" s="26"/>
      <c r="I112" s="26"/>
      <c r="J112" s="26"/>
      <c r="K112" s="27"/>
      <c r="L112" s="21">
        <v>1000000</v>
      </c>
      <c r="M112" s="21">
        <v>726000</v>
      </c>
      <c r="N112" s="21"/>
      <c r="O112" s="21"/>
      <c r="P112" s="64"/>
      <c r="Q112" s="54"/>
      <c r="R112" s="54"/>
      <c r="S112" s="55">
        <f>O112*J112/$R$10</f>
        <v>0</v>
      </c>
      <c r="T112" s="55"/>
    </row>
    <row r="113" spans="1:20" ht="13.5" customHeight="1" x14ac:dyDescent="0.2">
      <c r="A113" s="16"/>
      <c r="B113" s="1"/>
      <c r="C113" s="17" t="s">
        <v>48</v>
      </c>
      <c r="D113" s="18">
        <v>43146</v>
      </c>
      <c r="E113" s="96">
        <v>4.4499999999999998E-2</v>
      </c>
      <c r="F113" s="26"/>
      <c r="G113" s="26"/>
      <c r="H113" s="26"/>
      <c r="I113" s="26"/>
      <c r="J113" s="27"/>
      <c r="K113" s="27"/>
      <c r="L113" s="21"/>
      <c r="M113" s="21">
        <v>1146000</v>
      </c>
      <c r="N113" s="21"/>
      <c r="O113" s="21">
        <v>800000</v>
      </c>
      <c r="P113" s="64">
        <f t="shared" si="6"/>
        <v>1.4325000000000001</v>
      </c>
      <c r="Q113" s="54"/>
      <c r="R113" s="54"/>
      <c r="S113" s="55"/>
      <c r="T113" s="55"/>
    </row>
    <row r="114" spans="1:20" ht="13.5" customHeight="1" x14ac:dyDescent="0.2">
      <c r="A114" s="16"/>
      <c r="B114" s="1"/>
      <c r="C114" s="17" t="s">
        <v>49</v>
      </c>
      <c r="D114" s="18">
        <v>44576</v>
      </c>
      <c r="E114" s="96">
        <v>5.45E-2</v>
      </c>
      <c r="F114" s="26"/>
      <c r="G114" s="26"/>
      <c r="H114" s="26"/>
      <c r="I114" s="26"/>
      <c r="J114" s="27"/>
      <c r="K114" s="27"/>
      <c r="L114" s="21"/>
      <c r="M114" s="21">
        <v>101000</v>
      </c>
      <c r="N114" s="21"/>
      <c r="O114" s="21"/>
      <c r="P114" s="64"/>
      <c r="Q114" s="54"/>
      <c r="R114" s="54" t="e">
        <f>O114*J114/$O$43</f>
        <v>#DIV/0!</v>
      </c>
      <c r="S114" s="55">
        <f>O114*J114/$R$10</f>
        <v>0</v>
      </c>
      <c r="T114" s="55"/>
    </row>
    <row r="115" spans="1:20" ht="13.5" customHeight="1" x14ac:dyDescent="0.2">
      <c r="A115" s="16"/>
      <c r="B115" s="1"/>
      <c r="C115" s="17" t="s">
        <v>50</v>
      </c>
      <c r="D115" s="18">
        <v>46402</v>
      </c>
      <c r="E115" s="26">
        <v>0.06</v>
      </c>
      <c r="F115" s="26"/>
      <c r="G115" s="26"/>
      <c r="H115" s="26"/>
      <c r="I115" s="26"/>
      <c r="J115" s="27"/>
      <c r="K115" s="27"/>
      <c r="L115" s="21"/>
      <c r="M115" s="21">
        <v>31000</v>
      </c>
      <c r="N115" s="21"/>
      <c r="O115" s="21"/>
      <c r="P115" s="64"/>
      <c r="Q115" s="100"/>
      <c r="R115" s="54" t="e">
        <f>O115*J115/$O$43</f>
        <v>#DIV/0!</v>
      </c>
      <c r="S115" s="55">
        <f>O115*J115/$R$10</f>
        <v>0</v>
      </c>
      <c r="T115" s="55"/>
    </row>
    <row r="116" spans="1:20" ht="13.5" customHeight="1" x14ac:dyDescent="0.2">
      <c r="A116" s="16"/>
      <c r="B116" s="1"/>
      <c r="C116" s="17" t="s">
        <v>53</v>
      </c>
      <c r="D116" s="18">
        <v>50086</v>
      </c>
      <c r="E116" s="26">
        <v>6.0999999999999999E-2</v>
      </c>
      <c r="F116" s="26"/>
      <c r="G116" s="26"/>
      <c r="H116" s="26"/>
      <c r="I116" s="26"/>
      <c r="J116" s="27"/>
      <c r="K116" s="27"/>
      <c r="L116" s="21"/>
      <c r="M116" s="21">
        <v>259000</v>
      </c>
      <c r="N116" s="21"/>
      <c r="O116" s="21"/>
      <c r="P116" s="64"/>
      <c r="Q116" s="100"/>
      <c r="R116" s="54" t="e">
        <f>O116*J116/$O$43</f>
        <v>#DIV/0!</v>
      </c>
      <c r="S116" s="55">
        <f>O116*J116/$R$10</f>
        <v>0</v>
      </c>
      <c r="T116" s="55"/>
    </row>
    <row r="117" spans="1:20" ht="13.5" customHeight="1" x14ac:dyDescent="0.2">
      <c r="A117" s="112">
        <v>41079</v>
      </c>
      <c r="B117" s="112">
        <v>41081</v>
      </c>
      <c r="C117" s="113" t="s">
        <v>86</v>
      </c>
      <c r="D117" s="114">
        <v>41172</v>
      </c>
      <c r="E117" s="115">
        <v>0</v>
      </c>
      <c r="F117" s="116">
        <v>3.8124999999999999E-2</v>
      </c>
      <c r="G117" s="116">
        <v>4.0517400000000002E-2</v>
      </c>
      <c r="H117" s="116">
        <v>4.2812500000000003E-2</v>
      </c>
      <c r="I117" s="116">
        <v>3.8124999999999999E-2</v>
      </c>
      <c r="J117" s="117">
        <v>3.8978100000000002E-2</v>
      </c>
      <c r="K117" s="117">
        <v>3.9375E-2</v>
      </c>
      <c r="L117" s="118">
        <v>5000000</v>
      </c>
      <c r="M117" s="118">
        <v>1685000</v>
      </c>
      <c r="N117" s="118">
        <v>500000</v>
      </c>
      <c r="O117" s="118">
        <v>500000</v>
      </c>
      <c r="P117" s="89">
        <f t="shared" ref="P117:P122" si="7">M117/O117</f>
        <v>3.37</v>
      </c>
      <c r="Q117" s="120">
        <v>3.9E-2</v>
      </c>
      <c r="R117" s="54"/>
      <c r="S117" s="55">
        <f>O117*J117/$R$10</f>
        <v>19970809.025451954</v>
      </c>
      <c r="T117" s="55"/>
    </row>
    <row r="118" spans="1:20" ht="13.5" customHeight="1" x14ac:dyDescent="0.2">
      <c r="A118" s="92"/>
      <c r="B118" s="91"/>
      <c r="C118" s="113" t="s">
        <v>87</v>
      </c>
      <c r="D118" s="114">
        <v>41431</v>
      </c>
      <c r="E118" s="85">
        <v>0</v>
      </c>
      <c r="F118" s="86">
        <v>4.2500000000000003E-2</v>
      </c>
      <c r="G118" s="86">
        <v>4.4346900000000002E-2</v>
      </c>
      <c r="H118" s="86">
        <v>4.8750000000000002E-2</v>
      </c>
      <c r="I118" s="86">
        <v>4.2500000000000003E-2</v>
      </c>
      <c r="J118" s="87">
        <v>4.3333299999999998E-2</v>
      </c>
      <c r="K118" s="87">
        <v>4.3749999999999997E-2</v>
      </c>
      <c r="L118" s="88"/>
      <c r="M118" s="88">
        <v>1271400</v>
      </c>
      <c r="N118" s="88">
        <v>1250000</v>
      </c>
      <c r="O118" s="88">
        <v>1150000</v>
      </c>
      <c r="P118" s="89">
        <f t="shared" si="7"/>
        <v>1.1055652173913044</v>
      </c>
      <c r="Q118" s="90">
        <v>4.3999999999999997E-2</v>
      </c>
      <c r="R118" s="54"/>
      <c r="S118" s="55"/>
      <c r="T118" s="55"/>
    </row>
    <row r="119" spans="1:20" ht="13.5" customHeight="1" x14ac:dyDescent="0.2">
      <c r="A119" s="92"/>
      <c r="B119" s="93"/>
      <c r="C119" s="83" t="s">
        <v>35</v>
      </c>
      <c r="D119" s="84">
        <v>44696</v>
      </c>
      <c r="E119" s="86">
        <v>7.0000000000000007E-2</v>
      </c>
      <c r="F119" s="86">
        <v>6.3437499999999994E-2</v>
      </c>
      <c r="G119" s="86">
        <v>6.4400700000000005E-2</v>
      </c>
      <c r="H119" s="86">
        <v>6.5625000000000003E-2</v>
      </c>
      <c r="I119" s="86">
        <v>6.3437499999999994E-2</v>
      </c>
      <c r="J119" s="87">
        <v>6.3898899999999995E-2</v>
      </c>
      <c r="K119" s="87">
        <v>6.4062499999999994E-2</v>
      </c>
      <c r="L119" s="88"/>
      <c r="M119" s="88">
        <v>4972000</v>
      </c>
      <c r="N119" s="88">
        <v>950000</v>
      </c>
      <c r="O119" s="88">
        <v>950000</v>
      </c>
      <c r="P119" s="89">
        <f t="shared" si="7"/>
        <v>5.2336842105263157</v>
      </c>
      <c r="Q119" s="90">
        <v>6.3899999999999998E-2</v>
      </c>
      <c r="R119" s="54">
        <v>0</v>
      </c>
      <c r="S119" s="55">
        <v>0</v>
      </c>
      <c r="T119" s="55"/>
    </row>
    <row r="120" spans="1:20" ht="13.5" customHeight="1" x14ac:dyDescent="0.2">
      <c r="A120" s="92"/>
      <c r="B120" s="93"/>
      <c r="C120" s="83" t="s">
        <v>43</v>
      </c>
      <c r="D120" s="84">
        <v>46522</v>
      </c>
      <c r="E120" s="86">
        <v>7.0000000000000007E-2</v>
      </c>
      <c r="F120" s="86">
        <v>6.7187499999999997E-2</v>
      </c>
      <c r="G120" s="86">
        <v>6.7648200000000006E-2</v>
      </c>
      <c r="H120" s="86">
        <v>6.9062499999999999E-2</v>
      </c>
      <c r="I120" s="86">
        <v>6.7187499999999997E-2</v>
      </c>
      <c r="J120" s="86">
        <v>6.7388000000000003E-2</v>
      </c>
      <c r="K120" s="86">
        <v>6.7812499999999998E-2</v>
      </c>
      <c r="L120" s="88"/>
      <c r="M120" s="88">
        <v>2540000</v>
      </c>
      <c r="N120" s="88">
        <v>1600000</v>
      </c>
      <c r="O120" s="88">
        <v>1600000</v>
      </c>
      <c r="P120" s="89">
        <f t="shared" si="7"/>
        <v>1.5874999999999999</v>
      </c>
      <c r="Q120" s="90">
        <v>6.7400000000000002E-2</v>
      </c>
      <c r="R120" s="54">
        <v>0</v>
      </c>
      <c r="S120" s="55">
        <v>0</v>
      </c>
      <c r="T120" s="55"/>
    </row>
    <row r="121" spans="1:20" ht="13.5" customHeight="1" x14ac:dyDescent="0.2">
      <c r="A121" s="121"/>
      <c r="B121" s="141"/>
      <c r="C121" s="123" t="s">
        <v>32</v>
      </c>
      <c r="D121" s="124">
        <v>48380</v>
      </c>
      <c r="E121" s="126">
        <v>8.2500000000000004E-2</v>
      </c>
      <c r="F121" s="126">
        <v>7.03125E-2</v>
      </c>
      <c r="G121" s="126">
        <v>7.1506700000000006E-2</v>
      </c>
      <c r="H121" s="126">
        <v>7.2499999999999995E-2</v>
      </c>
      <c r="I121" s="126">
        <v>7.03125E-2</v>
      </c>
      <c r="J121" s="127">
        <v>7.1447399999999994E-2</v>
      </c>
      <c r="K121" s="127">
        <v>7.1874999999999994E-2</v>
      </c>
      <c r="L121" s="128"/>
      <c r="M121" s="128">
        <v>2848000</v>
      </c>
      <c r="N121" s="128">
        <v>2800000</v>
      </c>
      <c r="O121" s="128">
        <v>2650000</v>
      </c>
      <c r="P121" s="89">
        <f t="shared" si="7"/>
        <v>1.0747169811320754</v>
      </c>
      <c r="Q121" s="130">
        <v>7.1499999999999994E-2</v>
      </c>
      <c r="R121" s="54">
        <v>1.9887751488813776E-3</v>
      </c>
      <c r="S121" s="55">
        <v>29293528.561597757</v>
      </c>
      <c r="T121" s="60"/>
    </row>
    <row r="122" spans="1:20" ht="13.5" customHeight="1" x14ac:dyDescent="0.2">
      <c r="A122" s="58">
        <v>41086</v>
      </c>
      <c r="B122" s="59">
        <v>41088</v>
      </c>
      <c r="C122" s="17" t="s">
        <v>48</v>
      </c>
      <c r="D122" s="18">
        <v>43146</v>
      </c>
      <c r="E122" s="96">
        <v>4.4499999999999998E-2</v>
      </c>
      <c r="F122" s="26">
        <v>5.8125000000000003E-2</v>
      </c>
      <c r="G122" s="26"/>
      <c r="H122" s="26">
        <v>7.0000000000000007E-2</v>
      </c>
      <c r="I122" s="26"/>
      <c r="J122" s="26">
        <v>5.90935E-2</v>
      </c>
      <c r="K122" s="27"/>
      <c r="L122" s="21">
        <v>1000000</v>
      </c>
      <c r="M122" s="21">
        <v>916000</v>
      </c>
      <c r="N122" s="21"/>
      <c r="O122" s="21">
        <v>655000</v>
      </c>
      <c r="P122" s="64">
        <f t="shared" si="7"/>
        <v>1.3984732824427482</v>
      </c>
      <c r="Q122" s="54"/>
      <c r="R122" s="54"/>
      <c r="S122" s="55">
        <f>O122*J122/$R$10</f>
        <v>39663040.377049267</v>
      </c>
      <c r="T122" s="55"/>
    </row>
    <row r="123" spans="1:20" ht="13.5" customHeight="1" x14ac:dyDescent="0.2">
      <c r="A123" s="16"/>
      <c r="B123" s="1"/>
      <c r="C123" s="17" t="s">
        <v>49</v>
      </c>
      <c r="D123" s="18">
        <v>44576</v>
      </c>
      <c r="E123" s="96">
        <v>5.45E-2</v>
      </c>
      <c r="F123" s="26">
        <v>6.5312499999999996E-2</v>
      </c>
      <c r="G123" s="26"/>
      <c r="H123" s="26">
        <v>7.0000000000000007E-2</v>
      </c>
      <c r="I123" s="26"/>
      <c r="J123" s="27"/>
      <c r="K123" s="27"/>
      <c r="L123" s="21"/>
      <c r="M123" s="21">
        <v>266000</v>
      </c>
      <c r="N123" s="21"/>
      <c r="O123" s="21"/>
      <c r="P123" s="64"/>
      <c r="Q123" s="54"/>
      <c r="R123" s="54"/>
      <c r="S123" s="55"/>
      <c r="T123" s="55"/>
    </row>
    <row r="124" spans="1:20" ht="13.5" customHeight="1" x14ac:dyDescent="0.2">
      <c r="A124" s="16"/>
      <c r="B124" s="1"/>
      <c r="C124" s="17" t="s">
        <v>50</v>
      </c>
      <c r="D124" s="18">
        <v>46402</v>
      </c>
      <c r="E124" s="26">
        <v>0.06</v>
      </c>
      <c r="F124" s="26">
        <v>6.9375000000000006E-2</v>
      </c>
      <c r="G124" s="26"/>
      <c r="H124" s="26">
        <v>7.4999999999999997E-2</v>
      </c>
      <c r="I124" s="26"/>
      <c r="J124" s="27"/>
      <c r="K124" s="27"/>
      <c r="L124" s="21"/>
      <c r="M124" s="21">
        <v>261000</v>
      </c>
      <c r="N124" s="21"/>
      <c r="O124" s="21"/>
      <c r="P124" s="64"/>
      <c r="Q124" s="54"/>
      <c r="R124" s="54" t="e">
        <f>O124*J124/$O$43</f>
        <v>#DIV/0!</v>
      </c>
      <c r="S124" s="55">
        <f>O124*J124/$R$10</f>
        <v>0</v>
      </c>
      <c r="T124" s="55"/>
    </row>
    <row r="125" spans="1:20" ht="13.5" customHeight="1" x14ac:dyDescent="0.2">
      <c r="A125" s="16"/>
      <c r="B125" s="1"/>
      <c r="C125" s="17" t="s">
        <v>53</v>
      </c>
      <c r="D125" s="18">
        <v>50086</v>
      </c>
      <c r="E125" s="26">
        <v>6.0999999999999999E-2</v>
      </c>
      <c r="F125" s="26">
        <v>7.2812500000000002E-2</v>
      </c>
      <c r="G125" s="26"/>
      <c r="H125" s="26">
        <v>7.8750000000000001E-2</v>
      </c>
      <c r="I125" s="26"/>
      <c r="J125" s="27"/>
      <c r="K125" s="27"/>
      <c r="L125" s="21"/>
      <c r="M125" s="21">
        <v>150000</v>
      </c>
      <c r="N125" s="21"/>
      <c r="O125" s="21"/>
      <c r="P125" s="64"/>
      <c r="Q125" s="100"/>
      <c r="R125" s="54" t="e">
        <f>O125*J125/$O$43</f>
        <v>#DIV/0!</v>
      </c>
      <c r="S125" s="55">
        <f>O125*J125/$R$10</f>
        <v>0</v>
      </c>
      <c r="T125" s="55"/>
    </row>
    <row r="126" spans="1:20" ht="13.5" customHeight="1" x14ac:dyDescent="0.2">
      <c r="A126" s="58">
        <v>41088</v>
      </c>
      <c r="B126" s="59">
        <v>41088</v>
      </c>
      <c r="C126" s="17" t="s">
        <v>103</v>
      </c>
      <c r="D126" s="18">
        <v>42183</v>
      </c>
      <c r="E126" s="26">
        <v>5.21E-2</v>
      </c>
      <c r="F126" s="26"/>
      <c r="G126" s="26"/>
      <c r="H126" s="26"/>
      <c r="I126" s="26"/>
      <c r="J126" s="26"/>
      <c r="K126" s="27"/>
      <c r="L126" s="21">
        <v>2000000</v>
      </c>
      <c r="M126" s="21">
        <v>1000000</v>
      </c>
      <c r="N126" s="21">
        <v>1000000</v>
      </c>
      <c r="O126" s="21">
        <v>1000000</v>
      </c>
      <c r="P126" s="64">
        <f t="shared" ref="P126:P131" si="8">M126/O126</f>
        <v>1</v>
      </c>
      <c r="Q126" s="100"/>
      <c r="R126" s="54"/>
      <c r="S126" s="55"/>
      <c r="T126" s="55"/>
    </row>
    <row r="127" spans="1:20" ht="13.5" customHeight="1" x14ac:dyDescent="0.2">
      <c r="A127" s="58"/>
      <c r="B127" s="80"/>
      <c r="C127" s="17" t="s">
        <v>104</v>
      </c>
      <c r="D127" s="18">
        <v>44010</v>
      </c>
      <c r="E127" s="26">
        <v>6.2E-2</v>
      </c>
      <c r="F127" s="26"/>
      <c r="G127" s="26"/>
      <c r="H127" s="26"/>
      <c r="I127" s="26"/>
      <c r="J127" s="26"/>
      <c r="K127" s="152"/>
      <c r="L127" s="21"/>
      <c r="M127" s="21">
        <v>1000000</v>
      </c>
      <c r="N127" s="21">
        <v>1000000</v>
      </c>
      <c r="O127" s="21">
        <v>1000000</v>
      </c>
      <c r="P127" s="64">
        <f t="shared" si="8"/>
        <v>1</v>
      </c>
      <c r="Q127" s="100"/>
      <c r="R127" s="54"/>
      <c r="S127" s="55"/>
      <c r="T127" s="55"/>
    </row>
    <row r="128" spans="1:20" ht="13.5" customHeight="1" x14ac:dyDescent="0.2">
      <c r="A128" s="112">
        <v>41093</v>
      </c>
      <c r="B128" s="112">
        <v>41095</v>
      </c>
      <c r="C128" s="113" t="s">
        <v>88</v>
      </c>
      <c r="D128" s="114">
        <v>41459</v>
      </c>
      <c r="E128" s="115">
        <v>0</v>
      </c>
      <c r="F128" s="116">
        <v>4.4062499999999998E-2</v>
      </c>
      <c r="G128" s="116">
        <v>4.5443299999999999E-2</v>
      </c>
      <c r="H128" s="116">
        <v>4.6249999999999999E-2</v>
      </c>
      <c r="I128" s="116">
        <v>4.4062499999999998E-2</v>
      </c>
      <c r="J128" s="86">
        <v>4.4854900000000003E-2</v>
      </c>
      <c r="K128" s="86">
        <v>4.4999999999999998E-2</v>
      </c>
      <c r="L128" s="118">
        <v>6000000</v>
      </c>
      <c r="M128" s="118">
        <v>792700</v>
      </c>
      <c r="N128" s="118">
        <v>600000</v>
      </c>
      <c r="O128" s="118">
        <v>550000</v>
      </c>
      <c r="P128" s="89">
        <f t="shared" si="8"/>
        <v>1.4412727272727273</v>
      </c>
      <c r="Q128" s="120">
        <v>4.4999999999999998E-2</v>
      </c>
      <c r="R128" s="54"/>
      <c r="S128" s="55">
        <f>O128*J128/$R$10</f>
        <v>25280029.194119763</v>
      </c>
      <c r="T128" s="55"/>
    </row>
    <row r="129" spans="1:20" ht="13.5" customHeight="1" x14ac:dyDescent="0.2">
      <c r="A129" s="92"/>
      <c r="B129" s="91"/>
      <c r="C129" s="83" t="s">
        <v>35</v>
      </c>
      <c r="D129" s="84">
        <v>44696</v>
      </c>
      <c r="E129" s="86">
        <v>7.0000000000000007E-2</v>
      </c>
      <c r="F129" s="86">
        <v>6.0312499999999998E-2</v>
      </c>
      <c r="G129" s="86">
        <v>6.1586299999999997E-2</v>
      </c>
      <c r="H129" s="86">
        <v>6.3750000000000001E-2</v>
      </c>
      <c r="I129" s="86">
        <v>6.0312499999999998E-2</v>
      </c>
      <c r="J129" s="86">
        <v>6.0999699999999997E-2</v>
      </c>
      <c r="K129" s="86">
        <v>6.1249999999999999E-2</v>
      </c>
      <c r="L129" s="88"/>
      <c r="M129" s="88">
        <v>6483000</v>
      </c>
      <c r="N129" s="88">
        <v>3300000</v>
      </c>
      <c r="O129" s="88">
        <v>3300000</v>
      </c>
      <c r="P129" s="89">
        <f t="shared" si="8"/>
        <v>1.9645454545454546</v>
      </c>
      <c r="Q129" s="90">
        <v>6.0999999999999999E-2</v>
      </c>
      <c r="R129" s="54"/>
      <c r="S129" s="55"/>
      <c r="T129" s="55"/>
    </row>
    <row r="130" spans="1:20" ht="13.5" customHeight="1" x14ac:dyDescent="0.2">
      <c r="A130" s="92"/>
      <c r="B130" s="93"/>
      <c r="C130" s="83" t="s">
        <v>43</v>
      </c>
      <c r="D130" s="84">
        <v>46522</v>
      </c>
      <c r="E130" s="86">
        <v>7.0000000000000007E-2</v>
      </c>
      <c r="F130" s="86">
        <v>6.4062499999999994E-2</v>
      </c>
      <c r="G130" s="86">
        <v>6.55921E-2</v>
      </c>
      <c r="H130" s="86">
        <v>6.7187499999999997E-2</v>
      </c>
      <c r="I130" s="86">
        <v>6.4062499999999994E-2</v>
      </c>
      <c r="J130" s="86">
        <v>6.5096000000000001E-2</v>
      </c>
      <c r="K130" s="86">
        <v>6.5312499999999996E-2</v>
      </c>
      <c r="L130" s="88"/>
      <c r="M130" s="88">
        <v>3720000</v>
      </c>
      <c r="N130" s="88">
        <v>1900000</v>
      </c>
      <c r="O130" s="88">
        <v>1900000</v>
      </c>
      <c r="P130" s="89">
        <f t="shared" si="8"/>
        <v>1.9578947368421054</v>
      </c>
      <c r="Q130" s="90">
        <v>6.5100000000000005E-2</v>
      </c>
      <c r="R130" s="54">
        <v>0</v>
      </c>
      <c r="S130" s="55">
        <v>0</v>
      </c>
      <c r="T130" s="55"/>
    </row>
    <row r="131" spans="1:20" ht="13.5" customHeight="1" x14ac:dyDescent="0.2">
      <c r="A131" s="92"/>
      <c r="B131" s="93"/>
      <c r="C131" s="123" t="s">
        <v>32</v>
      </c>
      <c r="D131" s="124">
        <v>48380</v>
      </c>
      <c r="E131" s="126">
        <v>8.2500000000000004E-2</v>
      </c>
      <c r="F131" s="86">
        <v>6.7812499999999998E-2</v>
      </c>
      <c r="G131" s="86">
        <v>6.8797399999999995E-2</v>
      </c>
      <c r="H131" s="86">
        <v>7.0000000000000007E-2</v>
      </c>
      <c r="I131" s="86">
        <v>6.7812499999999998E-2</v>
      </c>
      <c r="J131" s="86">
        <v>6.8197900000000006E-2</v>
      </c>
      <c r="K131" s="86">
        <v>6.8437499999999998E-2</v>
      </c>
      <c r="L131" s="88"/>
      <c r="M131" s="88">
        <v>5491500</v>
      </c>
      <c r="N131" s="88">
        <v>1200000</v>
      </c>
      <c r="O131" s="88">
        <v>1200000</v>
      </c>
      <c r="P131" s="89">
        <f t="shared" si="8"/>
        <v>4.5762499999999999</v>
      </c>
      <c r="Q131" s="90">
        <v>6.8199999999999997E-2</v>
      </c>
      <c r="R131" s="54">
        <v>0</v>
      </c>
      <c r="S131" s="55">
        <v>0</v>
      </c>
      <c r="T131" s="55"/>
    </row>
    <row r="132" spans="1:20" ht="13.5" customHeight="1" x14ac:dyDescent="0.2">
      <c r="A132" s="58">
        <v>41100</v>
      </c>
      <c r="B132" s="59">
        <v>41102</v>
      </c>
      <c r="C132" s="17" t="s">
        <v>91</v>
      </c>
      <c r="D132" s="18"/>
      <c r="E132" s="96"/>
      <c r="F132" s="26">
        <v>0.04</v>
      </c>
      <c r="G132" s="26"/>
      <c r="H132" s="26">
        <v>0.05</v>
      </c>
      <c r="I132" s="26"/>
      <c r="J132" s="26"/>
      <c r="K132" s="27"/>
      <c r="L132" s="21">
        <v>1000000</v>
      </c>
      <c r="M132" s="21">
        <v>181000</v>
      </c>
      <c r="N132" s="21"/>
      <c r="O132" s="21"/>
      <c r="P132" s="64"/>
      <c r="Q132" s="54"/>
      <c r="R132" s="54"/>
      <c r="S132" s="55">
        <f>O132*J132/$R$10</f>
        <v>0</v>
      </c>
      <c r="T132" s="55"/>
    </row>
    <row r="133" spans="1:20" ht="13.5" customHeight="1" x14ac:dyDescent="0.2">
      <c r="A133" s="58"/>
      <c r="B133" s="80"/>
      <c r="C133" s="17" t="s">
        <v>48</v>
      </c>
      <c r="D133" s="18">
        <v>43146</v>
      </c>
      <c r="E133" s="96">
        <v>4.4499999999999998E-2</v>
      </c>
      <c r="F133" s="26">
        <v>5.8749999999999997E-2</v>
      </c>
      <c r="G133" s="26"/>
      <c r="H133" s="26">
        <v>6.7500000000000004E-2</v>
      </c>
      <c r="I133" s="26"/>
      <c r="J133" s="26"/>
      <c r="K133" s="27"/>
      <c r="L133" s="21"/>
      <c r="M133" s="21">
        <v>646000</v>
      </c>
      <c r="N133" s="21"/>
      <c r="O133" s="21"/>
      <c r="P133" s="64"/>
      <c r="Q133" s="54"/>
      <c r="R133" s="54"/>
      <c r="S133" s="55"/>
      <c r="T133" s="55"/>
    </row>
    <row r="134" spans="1:20" ht="13.5" customHeight="1" x14ac:dyDescent="0.2">
      <c r="A134" s="16"/>
      <c r="B134" s="1"/>
      <c r="C134" s="17" t="s">
        <v>49</v>
      </c>
      <c r="D134" s="18">
        <v>44576</v>
      </c>
      <c r="E134" s="96">
        <v>5.45E-2</v>
      </c>
      <c r="F134" s="26">
        <v>6.5000000000000002E-2</v>
      </c>
      <c r="G134" s="26"/>
      <c r="H134" s="26">
        <v>7.0000000000000007E-2</v>
      </c>
      <c r="I134" s="26"/>
      <c r="J134" s="27"/>
      <c r="K134" s="27"/>
      <c r="L134" s="21"/>
      <c r="M134" s="21">
        <v>131000</v>
      </c>
      <c r="N134" s="21"/>
      <c r="O134" s="21"/>
      <c r="P134" s="64"/>
      <c r="Q134" s="54"/>
      <c r="R134" s="54"/>
      <c r="S134" s="55"/>
      <c r="T134" s="55"/>
    </row>
    <row r="135" spans="1:20" ht="13.5" customHeight="1" x14ac:dyDescent="0.2">
      <c r="A135" s="16"/>
      <c r="B135" s="1"/>
      <c r="C135" s="17" t="s">
        <v>50</v>
      </c>
      <c r="D135" s="18">
        <v>46402</v>
      </c>
      <c r="E135" s="26">
        <v>0.06</v>
      </c>
      <c r="F135" s="26">
        <v>6.8750000000000006E-2</v>
      </c>
      <c r="G135" s="26"/>
      <c r="H135" s="26">
        <v>7.4999999999999997E-2</v>
      </c>
      <c r="I135" s="26"/>
      <c r="J135" s="27"/>
      <c r="K135" s="27"/>
      <c r="L135" s="21"/>
      <c r="M135" s="21">
        <v>96000</v>
      </c>
      <c r="N135" s="21"/>
      <c r="O135" s="21"/>
      <c r="P135" s="64"/>
      <c r="Q135" s="54"/>
      <c r="R135" s="54" t="e">
        <f>O135*J135/$O$43</f>
        <v>#DIV/0!</v>
      </c>
      <c r="S135" s="55">
        <f>O135*J135/$R$10</f>
        <v>0</v>
      </c>
      <c r="T135" s="55"/>
    </row>
    <row r="136" spans="1:20" ht="13.5" customHeight="1" x14ac:dyDescent="0.2">
      <c r="A136" s="16"/>
      <c r="B136" s="1"/>
      <c r="C136" s="17" t="s">
        <v>53</v>
      </c>
      <c r="D136" s="18">
        <v>50086</v>
      </c>
      <c r="E136" s="26">
        <v>6.0999999999999999E-2</v>
      </c>
      <c r="F136" s="26">
        <v>6.9687499999999999E-2</v>
      </c>
      <c r="G136" s="26"/>
      <c r="H136" s="26">
        <v>0.08</v>
      </c>
      <c r="I136" s="26"/>
      <c r="J136" s="27"/>
      <c r="K136" s="27"/>
      <c r="L136" s="21"/>
      <c r="M136" s="21">
        <v>163000</v>
      </c>
      <c r="N136" s="21"/>
      <c r="O136" s="21"/>
      <c r="P136" s="64"/>
      <c r="Q136" s="100"/>
      <c r="R136" s="54" t="e">
        <f>O136*J136/$O$43</f>
        <v>#DIV/0!</v>
      </c>
      <c r="S136" s="55">
        <f>O136*J136/$R$10</f>
        <v>0</v>
      </c>
      <c r="T136" s="55"/>
    </row>
    <row r="137" spans="1:20" ht="13.5" customHeight="1" x14ac:dyDescent="0.2">
      <c r="A137" s="112">
        <v>41107</v>
      </c>
      <c r="B137" s="112">
        <v>41109</v>
      </c>
      <c r="C137" s="113" t="s">
        <v>89</v>
      </c>
      <c r="D137" s="114">
        <v>41200</v>
      </c>
      <c r="E137" s="115">
        <v>0</v>
      </c>
      <c r="F137" s="116">
        <v>3.90625E-2</v>
      </c>
      <c r="G137" s="116">
        <v>4.1513099999999997E-2</v>
      </c>
      <c r="H137" s="116">
        <v>4.3749999999999997E-2</v>
      </c>
      <c r="I137" s="116">
        <v>3.90625E-2</v>
      </c>
      <c r="J137" s="117">
        <v>3.9890599999999998E-2</v>
      </c>
      <c r="K137" s="117">
        <v>0.04</v>
      </c>
      <c r="L137" s="118">
        <v>6000000</v>
      </c>
      <c r="M137" s="118">
        <v>4330000</v>
      </c>
      <c r="N137" s="118">
        <v>500000</v>
      </c>
      <c r="O137" s="118">
        <v>500000</v>
      </c>
      <c r="P137" s="89">
        <f t="shared" ref="P137:P148" si="9">M137/O137</f>
        <v>8.66</v>
      </c>
      <c r="Q137" s="120">
        <v>3.9899999999999998E-2</v>
      </c>
      <c r="R137" s="54"/>
      <c r="S137" s="55">
        <f>O137*J137/$R$10</f>
        <v>20438337.284544237</v>
      </c>
      <c r="T137" s="55"/>
    </row>
    <row r="138" spans="1:20" ht="13.5" customHeight="1" x14ac:dyDescent="0.2">
      <c r="A138" s="92"/>
      <c r="B138" s="91"/>
      <c r="C138" s="113" t="s">
        <v>90</v>
      </c>
      <c r="D138" s="114">
        <v>41459</v>
      </c>
      <c r="E138" s="85">
        <v>0</v>
      </c>
      <c r="F138" s="86">
        <v>4.2812500000000003E-2</v>
      </c>
      <c r="G138" s="86">
        <v>4.5234900000000001E-2</v>
      </c>
      <c r="H138" s="86">
        <v>4.7500000000000001E-2</v>
      </c>
      <c r="I138" s="86">
        <v>4.2812500000000003E-2</v>
      </c>
      <c r="J138" s="87">
        <v>4.4053799999999997E-2</v>
      </c>
      <c r="K138" s="87">
        <v>4.4062499999999998E-2</v>
      </c>
      <c r="L138" s="88"/>
      <c r="M138" s="88">
        <v>2654500</v>
      </c>
      <c r="N138" s="88">
        <v>1850000</v>
      </c>
      <c r="O138" s="88">
        <v>1000000</v>
      </c>
      <c r="P138" s="89">
        <f t="shared" si="9"/>
        <v>2.6545000000000001</v>
      </c>
      <c r="Q138" s="90">
        <v>4.4999999999999998E-2</v>
      </c>
      <c r="R138" s="54"/>
      <c r="S138" s="55"/>
      <c r="T138" s="55"/>
    </row>
    <row r="139" spans="1:20" ht="13.5" customHeight="1" x14ac:dyDescent="0.2">
      <c r="A139" s="92"/>
      <c r="B139" s="93"/>
      <c r="C139" s="83" t="s">
        <v>34</v>
      </c>
      <c r="D139" s="84">
        <v>42840</v>
      </c>
      <c r="E139" s="86">
        <v>6.25E-2</v>
      </c>
      <c r="F139" s="86">
        <v>5.3749999999999999E-2</v>
      </c>
      <c r="G139" s="86">
        <v>5.5510999999999998E-2</v>
      </c>
      <c r="H139" s="86">
        <v>0.06</v>
      </c>
      <c r="I139" s="86">
        <v>5.3749999999999999E-2</v>
      </c>
      <c r="J139" s="87">
        <v>5.4689300000000003E-2</v>
      </c>
      <c r="K139" s="87">
        <v>5.5E-2</v>
      </c>
      <c r="L139" s="88"/>
      <c r="M139" s="88">
        <v>2800000</v>
      </c>
      <c r="N139" s="88">
        <v>1250000</v>
      </c>
      <c r="O139" s="88">
        <v>1250000</v>
      </c>
      <c r="P139" s="89">
        <f t="shared" si="9"/>
        <v>2.2400000000000002</v>
      </c>
      <c r="Q139" s="90">
        <v>5.4699999999999999E-2</v>
      </c>
      <c r="R139" s="54">
        <v>0</v>
      </c>
      <c r="S139" s="55">
        <v>0</v>
      </c>
      <c r="T139" s="55"/>
    </row>
    <row r="140" spans="1:20" ht="13.5" customHeight="1" x14ac:dyDescent="0.2">
      <c r="A140" s="92"/>
      <c r="B140" s="93"/>
      <c r="C140" s="83" t="s">
        <v>32</v>
      </c>
      <c r="D140" s="143">
        <v>48380</v>
      </c>
      <c r="E140" s="144">
        <v>8.2500000000000004E-2</v>
      </c>
      <c r="F140" s="86">
        <v>6.5625000000000003E-2</v>
      </c>
      <c r="G140" s="86">
        <v>6.7163299999999995E-2</v>
      </c>
      <c r="H140" s="86">
        <v>6.8750000000000006E-2</v>
      </c>
      <c r="I140" s="86">
        <v>6.5625000000000003E-2</v>
      </c>
      <c r="J140" s="86">
        <v>6.6704799999999995E-2</v>
      </c>
      <c r="K140" s="86">
        <v>6.6875000000000004E-2</v>
      </c>
      <c r="L140" s="88"/>
      <c r="M140" s="88">
        <v>12502200</v>
      </c>
      <c r="N140" s="88">
        <v>6450000</v>
      </c>
      <c r="O140" s="88">
        <v>4500000</v>
      </c>
      <c r="P140" s="89">
        <f t="shared" si="9"/>
        <v>2.7782666666666667</v>
      </c>
      <c r="Q140" s="90">
        <v>6.6799999999999998E-2</v>
      </c>
      <c r="R140" s="54">
        <v>0</v>
      </c>
      <c r="S140" s="55">
        <v>0</v>
      </c>
      <c r="T140" s="55"/>
    </row>
    <row r="141" spans="1:20" ht="13.5" customHeight="1" x14ac:dyDescent="0.2">
      <c r="A141" s="121"/>
      <c r="B141" s="141"/>
      <c r="C141" s="123" t="s">
        <v>47</v>
      </c>
      <c r="D141" s="124">
        <v>51971</v>
      </c>
      <c r="E141" s="126">
        <v>6.3750000000000001E-2</v>
      </c>
      <c r="F141" s="126">
        <v>6.5000000000000002E-2</v>
      </c>
      <c r="G141" s="126">
        <v>6.9052799999999998E-2</v>
      </c>
      <c r="H141" s="126">
        <v>7.2499999999999995E-2</v>
      </c>
      <c r="I141" s="126">
        <v>6.5000000000000002E-2</v>
      </c>
      <c r="J141" s="127">
        <v>6.7993499999999998E-2</v>
      </c>
      <c r="K141" s="127">
        <v>6.8750000000000006E-2</v>
      </c>
      <c r="L141" s="128"/>
      <c r="M141" s="128">
        <v>5403000</v>
      </c>
      <c r="N141" s="128">
        <v>1750000</v>
      </c>
      <c r="O141" s="128">
        <v>1750000</v>
      </c>
      <c r="P141" s="129">
        <f t="shared" si="9"/>
        <v>3.0874285714285716</v>
      </c>
      <c r="Q141" s="130">
        <v>6.8000000000000005E-2</v>
      </c>
      <c r="R141" s="54">
        <v>1.9887751488813776E-3</v>
      </c>
      <c r="S141" s="55">
        <v>29293528.561597757</v>
      </c>
      <c r="T141" s="60"/>
    </row>
    <row r="142" spans="1:20" ht="13.5" customHeight="1" x14ac:dyDescent="0.2">
      <c r="A142" s="58">
        <v>41114</v>
      </c>
      <c r="B142" s="59">
        <v>41116</v>
      </c>
      <c r="C142" s="17" t="s">
        <v>97</v>
      </c>
      <c r="D142" s="18"/>
      <c r="E142" s="96"/>
      <c r="F142" s="26">
        <v>4.1562500000000002E-2</v>
      </c>
      <c r="G142" s="26"/>
      <c r="H142" s="26">
        <v>0.05</v>
      </c>
      <c r="I142" s="26"/>
      <c r="J142" s="26"/>
      <c r="K142" s="27"/>
      <c r="L142" s="21">
        <v>1000000</v>
      </c>
      <c r="M142" s="21">
        <v>341000</v>
      </c>
      <c r="N142" s="21"/>
      <c r="O142" s="21"/>
      <c r="P142" s="64"/>
      <c r="Q142" s="54"/>
      <c r="R142" s="54"/>
      <c r="S142" s="55">
        <f>O142*J142/$R$10</f>
        <v>0</v>
      </c>
      <c r="T142" s="55"/>
    </row>
    <row r="143" spans="1:20" ht="13.5" customHeight="1" x14ac:dyDescent="0.2">
      <c r="A143" s="58"/>
      <c r="B143" s="80"/>
      <c r="C143" s="17" t="s">
        <v>48</v>
      </c>
      <c r="D143" s="18">
        <v>43146</v>
      </c>
      <c r="E143" s="96">
        <v>4.4499999999999998E-2</v>
      </c>
      <c r="F143" s="26">
        <v>5.6250000000000001E-2</v>
      </c>
      <c r="G143" s="26"/>
      <c r="H143" s="26">
        <v>6.2812499999999993E-2</v>
      </c>
      <c r="I143" s="26"/>
      <c r="J143" s="26"/>
      <c r="K143" s="27"/>
      <c r="L143" s="21"/>
      <c r="M143" s="21">
        <v>731000</v>
      </c>
      <c r="N143" s="21"/>
      <c r="O143" s="21"/>
      <c r="P143" s="64"/>
      <c r="Q143" s="54"/>
      <c r="R143" s="54"/>
      <c r="S143" s="55"/>
      <c r="T143" s="55"/>
    </row>
    <row r="144" spans="1:20" ht="13.5" customHeight="1" x14ac:dyDescent="0.2">
      <c r="A144" s="16"/>
      <c r="B144" s="1"/>
      <c r="C144" s="17" t="s">
        <v>49</v>
      </c>
      <c r="D144" s="18">
        <v>44576</v>
      </c>
      <c r="E144" s="96">
        <v>5.45E-2</v>
      </c>
      <c r="F144" s="26">
        <v>6.25E-2</v>
      </c>
      <c r="G144" s="26"/>
      <c r="H144" s="26">
        <v>6.6250000000000003E-2</v>
      </c>
      <c r="I144" s="26"/>
      <c r="J144" s="27"/>
      <c r="K144" s="27"/>
      <c r="L144" s="21"/>
      <c r="M144" s="21">
        <v>291000</v>
      </c>
      <c r="N144" s="21"/>
      <c r="O144" s="21"/>
      <c r="P144" s="64"/>
      <c r="Q144" s="54"/>
      <c r="R144" s="54"/>
      <c r="S144" s="55"/>
      <c r="T144" s="55"/>
    </row>
    <row r="145" spans="1:20" ht="13.5" customHeight="1" x14ac:dyDescent="0.2">
      <c r="A145" s="16"/>
      <c r="B145" s="1"/>
      <c r="C145" s="17" t="s">
        <v>50</v>
      </c>
      <c r="D145" s="18">
        <v>46402</v>
      </c>
      <c r="E145" s="26">
        <v>0.06</v>
      </c>
      <c r="F145" s="26">
        <v>6.6875000000000004E-2</v>
      </c>
      <c r="G145" s="26"/>
      <c r="H145" s="26">
        <v>7.0000000000000007E-2</v>
      </c>
      <c r="I145" s="26"/>
      <c r="J145" s="27"/>
      <c r="K145" s="27"/>
      <c r="L145" s="21"/>
      <c r="M145" s="21">
        <v>106000</v>
      </c>
      <c r="N145" s="21"/>
      <c r="O145" s="21"/>
      <c r="P145" s="64"/>
      <c r="Q145" s="54"/>
      <c r="R145" s="54" t="e">
        <f>O145*J145/$O$43</f>
        <v>#DIV/0!</v>
      </c>
      <c r="S145" s="55">
        <f>O145*J145/$R$10</f>
        <v>0</v>
      </c>
      <c r="T145" s="55"/>
    </row>
    <row r="146" spans="1:20" ht="13.5" customHeight="1" x14ac:dyDescent="0.2">
      <c r="A146" s="16"/>
      <c r="B146" s="1"/>
      <c r="C146" s="17" t="s">
        <v>53</v>
      </c>
      <c r="D146" s="18">
        <v>50086</v>
      </c>
      <c r="E146" s="26">
        <v>6.0999999999999999E-2</v>
      </c>
      <c r="F146" s="26">
        <v>6.6562499999999997E-2</v>
      </c>
      <c r="G146" s="26"/>
      <c r="H146" s="26">
        <v>7.3749999999999996E-2</v>
      </c>
      <c r="I146" s="26"/>
      <c r="J146" s="27"/>
      <c r="K146" s="27"/>
      <c r="L146" s="21"/>
      <c r="M146" s="21">
        <v>530000</v>
      </c>
      <c r="N146" s="21"/>
      <c r="O146" s="21">
        <v>460000</v>
      </c>
      <c r="P146" s="64">
        <f>M146/O146</f>
        <v>1.1521739130434783</v>
      </c>
      <c r="Q146" s="100"/>
      <c r="R146" s="54" t="e">
        <f>O146*J146/$O$43</f>
        <v>#DIV/0!</v>
      </c>
      <c r="S146" s="55">
        <f>O146*J146/$R$10</f>
        <v>0</v>
      </c>
      <c r="T146" s="55"/>
    </row>
    <row r="147" spans="1:20" ht="13.5" customHeight="1" x14ac:dyDescent="0.2">
      <c r="A147" s="112">
        <v>41128</v>
      </c>
      <c r="B147" s="112">
        <v>41130</v>
      </c>
      <c r="C147" s="113" t="s">
        <v>96</v>
      </c>
      <c r="D147" s="114"/>
      <c r="E147" s="86"/>
      <c r="F147" s="116">
        <v>4.6249999999999999E-2</v>
      </c>
      <c r="G147" s="116"/>
      <c r="H147" s="116">
        <v>0.05</v>
      </c>
      <c r="I147" s="116"/>
      <c r="J147" s="86"/>
      <c r="K147" s="86"/>
      <c r="L147" s="118">
        <v>1000000</v>
      </c>
      <c r="M147" s="118">
        <v>336000</v>
      </c>
      <c r="N147" s="118"/>
      <c r="O147" s="118"/>
      <c r="P147" s="89"/>
      <c r="Q147" s="120"/>
      <c r="R147" s="54"/>
      <c r="S147" s="55">
        <f>O147*J147/$R$10</f>
        <v>0</v>
      </c>
      <c r="T147" s="55"/>
    </row>
    <row r="148" spans="1:20" ht="13.5" customHeight="1" x14ac:dyDescent="0.2">
      <c r="A148" s="81"/>
      <c r="B148" s="81"/>
      <c r="C148" s="83" t="s">
        <v>48</v>
      </c>
      <c r="D148" s="84">
        <v>43146</v>
      </c>
      <c r="E148" s="86">
        <v>4.4499999999999998E-2</v>
      </c>
      <c r="F148" s="86">
        <v>5.6562500000000002E-2</v>
      </c>
      <c r="G148" s="86"/>
      <c r="H148" s="86">
        <v>6.25E-2</v>
      </c>
      <c r="I148" s="86">
        <v>5.6562500000000002E-2</v>
      </c>
      <c r="J148" s="86">
        <v>5.6596E-2</v>
      </c>
      <c r="K148" s="86"/>
      <c r="L148" s="88"/>
      <c r="M148" s="88">
        <v>726000</v>
      </c>
      <c r="N148" s="88"/>
      <c r="O148" s="88">
        <v>40000</v>
      </c>
      <c r="P148" s="89">
        <f t="shared" si="9"/>
        <v>18.149999999999999</v>
      </c>
      <c r="Q148" s="90"/>
      <c r="R148" s="54"/>
      <c r="S148" s="55"/>
      <c r="T148" s="55"/>
    </row>
    <row r="149" spans="1:20" ht="13.5" customHeight="1" x14ac:dyDescent="0.2">
      <c r="A149" s="81"/>
      <c r="B149" s="81"/>
      <c r="C149" s="83" t="s">
        <v>49</v>
      </c>
      <c r="D149" s="84">
        <v>44576</v>
      </c>
      <c r="E149" s="86">
        <v>5.45E-2</v>
      </c>
      <c r="F149" s="86">
        <v>6.0937499999999999E-2</v>
      </c>
      <c r="G149" s="86"/>
      <c r="H149" s="86">
        <v>6.5000000000000002E-2</v>
      </c>
      <c r="I149" s="86"/>
      <c r="J149" s="86"/>
      <c r="K149" s="86"/>
      <c r="L149" s="88"/>
      <c r="M149" s="88">
        <v>176000</v>
      </c>
      <c r="N149" s="88"/>
      <c r="O149" s="88"/>
      <c r="P149" s="89"/>
      <c r="Q149" s="90"/>
      <c r="R149" s="54"/>
      <c r="S149" s="55"/>
      <c r="T149" s="55"/>
    </row>
    <row r="150" spans="1:20" ht="13.5" customHeight="1" x14ac:dyDescent="0.2">
      <c r="A150" s="81"/>
      <c r="B150" s="81"/>
      <c r="C150" s="83" t="s">
        <v>50</v>
      </c>
      <c r="D150" s="84">
        <v>46402</v>
      </c>
      <c r="E150" s="86">
        <v>0.06</v>
      </c>
      <c r="F150" s="86">
        <v>6.5937499999999996E-2</v>
      </c>
      <c r="G150" s="86"/>
      <c r="H150" s="86">
        <v>7.0000000000000007E-2</v>
      </c>
      <c r="I150" s="86"/>
      <c r="J150" s="86"/>
      <c r="K150" s="86"/>
      <c r="L150" s="88"/>
      <c r="M150" s="88">
        <v>106000</v>
      </c>
      <c r="N150" s="88"/>
      <c r="O150" s="88"/>
      <c r="P150" s="89"/>
      <c r="Q150" s="90"/>
      <c r="R150" s="54" t="e">
        <f>O150*J150/$O$43</f>
        <v>#DIV/0!</v>
      </c>
      <c r="S150" s="55">
        <f>O150*J150/$R$10</f>
        <v>0</v>
      </c>
      <c r="T150" s="55"/>
    </row>
    <row r="151" spans="1:20" ht="13.5" customHeight="1" x14ac:dyDescent="0.2">
      <c r="A151" s="81"/>
      <c r="B151" s="81"/>
      <c r="C151" s="83" t="s">
        <v>53</v>
      </c>
      <c r="D151" s="84">
        <v>50086</v>
      </c>
      <c r="E151" s="86">
        <v>6.0999999999999999E-2</v>
      </c>
      <c r="F151" s="86">
        <v>6.6562499999999997E-2</v>
      </c>
      <c r="G151" s="86"/>
      <c r="H151" s="86">
        <v>7.3749999999999996E-2</v>
      </c>
      <c r="I151" s="86">
        <v>6.6562499999999997E-2</v>
      </c>
      <c r="J151" s="86">
        <v>6.7161600000000002E-2</v>
      </c>
      <c r="K151" s="86"/>
      <c r="L151" s="88"/>
      <c r="M151" s="88">
        <v>589000</v>
      </c>
      <c r="N151" s="88"/>
      <c r="O151" s="88">
        <v>500000</v>
      </c>
      <c r="P151" s="89">
        <f>M151/O151</f>
        <v>1.1779999999999999</v>
      </c>
      <c r="Q151" s="90"/>
      <c r="R151" s="54" t="e">
        <f>O151*J151/$O$43</f>
        <v>#DIV/0!</v>
      </c>
      <c r="S151" s="55">
        <f>O151*J151/$R$10</f>
        <v>34410899.644769609</v>
      </c>
      <c r="T151" s="55"/>
    </row>
    <row r="152" spans="1:20" ht="13.5" customHeight="1" x14ac:dyDescent="0.2">
      <c r="A152" s="68">
        <v>41130</v>
      </c>
      <c r="B152" s="68">
        <v>41134</v>
      </c>
      <c r="C152" s="69" t="s">
        <v>92</v>
      </c>
      <c r="D152" s="70">
        <v>41225</v>
      </c>
      <c r="E152" s="62"/>
      <c r="F152" s="72">
        <v>3.90625E-2</v>
      </c>
      <c r="G152" s="72">
        <v>4.0763199999999999E-2</v>
      </c>
      <c r="H152" s="72">
        <v>4.2187500000000003E-2</v>
      </c>
      <c r="I152" s="72">
        <v>3.90625E-2</v>
      </c>
      <c r="J152" s="62">
        <v>4.04886E-2</v>
      </c>
      <c r="K152" s="62">
        <v>4.1250000000000002E-2</v>
      </c>
      <c r="L152" s="74">
        <v>6000000</v>
      </c>
      <c r="M152" s="74">
        <v>1169000</v>
      </c>
      <c r="N152" s="74">
        <v>850000</v>
      </c>
      <c r="O152" s="74">
        <v>850000</v>
      </c>
      <c r="P152" s="64">
        <f>M152/O152</f>
        <v>1.3752941176470588</v>
      </c>
      <c r="Q152" s="145">
        <v>4.0500000000000001E-2</v>
      </c>
      <c r="R152" s="100"/>
      <c r="S152" s="55">
        <f>O152*J152/$R$10</f>
        <v>35266038.291334204</v>
      </c>
      <c r="T152" s="55"/>
    </row>
    <row r="153" spans="1:20" ht="13.5" customHeight="1" x14ac:dyDescent="0.2">
      <c r="A153" s="58"/>
      <c r="B153" s="58"/>
      <c r="C153" s="17" t="s">
        <v>93</v>
      </c>
      <c r="D153" s="18">
        <v>41498</v>
      </c>
      <c r="E153" s="62"/>
      <c r="F153" s="62">
        <v>4.3124999999999997E-2</v>
      </c>
      <c r="G153" s="62">
        <v>4.5221900000000002E-2</v>
      </c>
      <c r="H153" s="62">
        <v>4.6875E-2</v>
      </c>
      <c r="I153" s="62">
        <v>4.3124999999999997E-2</v>
      </c>
      <c r="J153" s="62">
        <v>4.4704199999999999E-2</v>
      </c>
      <c r="K153" s="62">
        <v>4.5312499999999999E-2</v>
      </c>
      <c r="L153" s="63"/>
      <c r="M153" s="63">
        <v>531000</v>
      </c>
      <c r="N153" s="63">
        <v>500000</v>
      </c>
      <c r="O153" s="63">
        <v>450000</v>
      </c>
      <c r="P153" s="64">
        <f>M153/O153</f>
        <v>1.18</v>
      </c>
      <c r="Q153" s="100">
        <v>4.4999999999999998E-2</v>
      </c>
      <c r="R153" s="100"/>
      <c r="S153" s="55"/>
      <c r="T153" s="55"/>
    </row>
    <row r="154" spans="1:20" ht="13.5" customHeight="1" x14ac:dyDescent="0.2">
      <c r="A154" s="58"/>
      <c r="B154" s="58"/>
      <c r="C154" s="17" t="s">
        <v>94</v>
      </c>
      <c r="D154" s="18">
        <v>45061</v>
      </c>
      <c r="E154" s="62">
        <v>5.6250000000000001E-2</v>
      </c>
      <c r="F154" s="62">
        <v>5.6250000000000001E-2</v>
      </c>
      <c r="G154" s="62">
        <v>5.8444999999999997E-2</v>
      </c>
      <c r="H154" s="62">
        <v>6.21875E-2</v>
      </c>
      <c r="I154" s="62">
        <v>5.6250000000000001E-2</v>
      </c>
      <c r="J154" s="62">
        <v>5.78474E-2</v>
      </c>
      <c r="K154" s="62">
        <v>5.8125000000000003E-2</v>
      </c>
      <c r="L154" s="63"/>
      <c r="M154" s="63">
        <v>7471300</v>
      </c>
      <c r="N154" s="63">
        <v>4950000</v>
      </c>
      <c r="O154" s="63">
        <v>3100000</v>
      </c>
      <c r="P154" s="64">
        <f>M154/O154</f>
        <v>2.4100967741935482</v>
      </c>
      <c r="Q154" s="100">
        <v>5.8000000000000003E-2</v>
      </c>
      <c r="R154" s="100">
        <v>0</v>
      </c>
      <c r="S154" s="55">
        <v>0</v>
      </c>
      <c r="T154" s="55"/>
    </row>
    <row r="155" spans="1:20" ht="13.5" customHeight="1" x14ac:dyDescent="0.2">
      <c r="A155" s="58"/>
      <c r="B155" s="58"/>
      <c r="C155" s="17" t="s">
        <v>95</v>
      </c>
      <c r="D155" s="18">
        <v>46888</v>
      </c>
      <c r="E155" s="62">
        <v>6.1249999999999999E-2</v>
      </c>
      <c r="F155" s="62">
        <v>6.1249999999999999E-2</v>
      </c>
      <c r="G155" s="62">
        <v>6.3324000000000005E-2</v>
      </c>
      <c r="H155" s="62">
        <v>6.5937499999999996E-2</v>
      </c>
      <c r="I155" s="62">
        <v>6.1249999999999999E-2</v>
      </c>
      <c r="J155" s="62">
        <v>6.2920799999999999E-2</v>
      </c>
      <c r="K155" s="62">
        <v>6.3125000000000001E-2</v>
      </c>
      <c r="L155" s="63"/>
      <c r="M155" s="63">
        <v>7838200</v>
      </c>
      <c r="N155" s="63">
        <v>7838200</v>
      </c>
      <c r="O155" s="63">
        <v>4600000</v>
      </c>
      <c r="P155" s="64">
        <f>M155/O155</f>
        <v>1.7039565217391304</v>
      </c>
      <c r="Q155" s="100">
        <v>6.3500000000000001E-2</v>
      </c>
      <c r="R155" s="100">
        <v>0</v>
      </c>
      <c r="S155" s="55">
        <v>0</v>
      </c>
      <c r="T155" s="55"/>
    </row>
    <row r="156" spans="1:20" ht="13.5" customHeight="1" x14ac:dyDescent="0.2">
      <c r="A156" s="58"/>
      <c r="B156" s="58"/>
      <c r="C156" s="17" t="s">
        <v>47</v>
      </c>
      <c r="D156" s="18">
        <v>51971</v>
      </c>
      <c r="E156" s="62">
        <v>6.3750000000000001E-2</v>
      </c>
      <c r="F156" s="62">
        <v>6.5000000000000002E-2</v>
      </c>
      <c r="G156" s="62">
        <v>6.6420800000000002E-2</v>
      </c>
      <c r="H156" s="62">
        <v>6.8437499999999998E-2</v>
      </c>
      <c r="I156" s="62"/>
      <c r="J156" s="62"/>
      <c r="K156" s="62"/>
      <c r="L156" s="63"/>
      <c r="M156" s="63">
        <v>3007000</v>
      </c>
      <c r="N156" s="63">
        <v>300000</v>
      </c>
      <c r="O156" s="63"/>
      <c r="P156" s="64"/>
      <c r="Q156" s="100">
        <v>6.5299999999999997E-2</v>
      </c>
      <c r="R156" s="100">
        <v>1.9887751488813776E-3</v>
      </c>
      <c r="S156" s="55">
        <v>29293528.561597757</v>
      </c>
      <c r="T156" s="55"/>
    </row>
    <row r="157" spans="1:20" ht="13.5" customHeight="1" x14ac:dyDescent="0.2">
      <c r="A157" s="112">
        <v>41149</v>
      </c>
      <c r="B157" s="112">
        <v>41151</v>
      </c>
      <c r="C157" s="83" t="s">
        <v>93</v>
      </c>
      <c r="D157" s="84">
        <v>41498</v>
      </c>
      <c r="E157" s="86"/>
      <c r="F157" s="116">
        <v>4.3749999999999997E-2</v>
      </c>
      <c r="G157" s="116">
        <v>4.8259900000000001E-2</v>
      </c>
      <c r="H157" s="116">
        <v>0.05</v>
      </c>
      <c r="I157" s="116">
        <v>4.3749999999999997E-2</v>
      </c>
      <c r="J157" s="86">
        <v>4.5231199999999999E-2</v>
      </c>
      <c r="K157" s="86">
        <v>4.6249999999999999E-2</v>
      </c>
      <c r="L157" s="118">
        <v>6000000</v>
      </c>
      <c r="M157" s="118">
        <v>666300</v>
      </c>
      <c r="N157" s="118">
        <v>666300</v>
      </c>
      <c r="O157" s="118">
        <v>540000</v>
      </c>
      <c r="P157" s="89">
        <f t="shared" ref="P157:P166" si="10">M157/O157</f>
        <v>1.2338888888888888</v>
      </c>
      <c r="Q157" s="120">
        <v>4.9000000000000002E-2</v>
      </c>
      <c r="R157" s="54"/>
      <c r="S157" s="55">
        <f>O157*J157/$R$10</f>
        <v>25028617.345827125</v>
      </c>
      <c r="T157" s="55"/>
    </row>
    <row r="158" spans="1:20" ht="13.5" customHeight="1" x14ac:dyDescent="0.2">
      <c r="A158" s="81"/>
      <c r="B158" s="81"/>
      <c r="C158" s="83" t="s">
        <v>34</v>
      </c>
      <c r="D158" s="84">
        <v>42840</v>
      </c>
      <c r="E158" s="86">
        <v>6.25E-2</v>
      </c>
      <c r="F158" s="86">
        <v>5.5625000000000001E-2</v>
      </c>
      <c r="G158" s="86">
        <v>5.6602699999999999E-2</v>
      </c>
      <c r="H158" s="86">
        <v>0.06</v>
      </c>
      <c r="I158" s="86">
        <v>5.5625000000000001E-2</v>
      </c>
      <c r="J158" s="86">
        <v>5.5915199999999998E-2</v>
      </c>
      <c r="K158" s="86">
        <v>5.6250000000000001E-2</v>
      </c>
      <c r="L158" s="88"/>
      <c r="M158" s="88">
        <v>887000</v>
      </c>
      <c r="N158" s="88">
        <v>600000</v>
      </c>
      <c r="O158" s="88">
        <v>350000</v>
      </c>
      <c r="P158" s="89">
        <f t="shared" si="10"/>
        <v>2.5342857142857143</v>
      </c>
      <c r="Q158" s="90">
        <v>4.65E-2</v>
      </c>
      <c r="R158" s="54"/>
      <c r="S158" s="55"/>
      <c r="T158" s="55"/>
    </row>
    <row r="159" spans="1:20" ht="13.5" customHeight="1" x14ac:dyDescent="0.2">
      <c r="A159" s="81"/>
      <c r="B159" s="81"/>
      <c r="C159" s="83" t="s">
        <v>94</v>
      </c>
      <c r="D159" s="84">
        <v>45061</v>
      </c>
      <c r="E159" s="86">
        <v>5.6250000000000001E-2</v>
      </c>
      <c r="F159" s="86">
        <v>6.1562499999999999E-2</v>
      </c>
      <c r="G159" s="86">
        <v>6.2457400000000003E-2</v>
      </c>
      <c r="H159" s="86">
        <v>6.5312499999999996E-2</v>
      </c>
      <c r="I159" s="86"/>
      <c r="J159" s="86"/>
      <c r="K159" s="86"/>
      <c r="L159" s="88"/>
      <c r="M159" s="88">
        <v>1530000</v>
      </c>
      <c r="N159" s="88"/>
      <c r="O159" s="88"/>
      <c r="P159" s="89"/>
      <c r="Q159" s="90">
        <v>6.1499999999999999E-2</v>
      </c>
      <c r="R159" s="54">
        <v>0</v>
      </c>
      <c r="S159" s="55">
        <v>0</v>
      </c>
      <c r="T159" s="55"/>
    </row>
    <row r="160" spans="1:20" ht="13.5" customHeight="1" x14ac:dyDescent="0.2">
      <c r="A160" s="81"/>
      <c r="B160" s="81"/>
      <c r="C160" s="83" t="s">
        <v>98</v>
      </c>
      <c r="D160" s="84">
        <v>48714</v>
      </c>
      <c r="E160" s="86">
        <v>6.6250000000000003E-2</v>
      </c>
      <c r="F160" s="86">
        <v>6.7812499999999998E-2</v>
      </c>
      <c r="G160" s="86">
        <v>6.9155700000000001E-2</v>
      </c>
      <c r="H160" s="86">
        <v>7.2499999999999995E-2</v>
      </c>
      <c r="I160" s="86">
        <v>6.7812499999999998E-2</v>
      </c>
      <c r="J160" s="86">
        <v>6.8855E-2</v>
      </c>
      <c r="K160" s="86">
        <v>6.9062499999999999E-2</v>
      </c>
      <c r="L160" s="88"/>
      <c r="M160" s="88">
        <v>4284500</v>
      </c>
      <c r="N160" s="88">
        <v>3200000</v>
      </c>
      <c r="O160" s="88">
        <v>2950000</v>
      </c>
      <c r="P160" s="89">
        <f t="shared" si="10"/>
        <v>1.4523728813559322</v>
      </c>
      <c r="Q160" s="90">
        <v>6.8900000000000003E-2</v>
      </c>
      <c r="R160" s="54">
        <v>0</v>
      </c>
      <c r="S160" s="55">
        <v>0</v>
      </c>
      <c r="T160" s="55"/>
    </row>
    <row r="161" spans="1:20" ht="13.5" customHeight="1" x14ac:dyDescent="0.2">
      <c r="A161" s="81"/>
      <c r="B161" s="81"/>
      <c r="C161" s="83" t="s">
        <v>47</v>
      </c>
      <c r="D161" s="84">
        <v>51971</v>
      </c>
      <c r="E161" s="86">
        <v>6.3750000000000001E-2</v>
      </c>
      <c r="F161" s="86">
        <v>6.8437499999999998E-2</v>
      </c>
      <c r="G161" s="86">
        <v>6.9570300000000002E-2</v>
      </c>
      <c r="H161" s="86">
        <v>7.1249999999999994E-2</v>
      </c>
      <c r="I161" s="86"/>
      <c r="J161" s="86"/>
      <c r="K161" s="86"/>
      <c r="L161" s="88"/>
      <c r="M161" s="88">
        <v>1149500</v>
      </c>
      <c r="N161" s="88">
        <v>100000</v>
      </c>
      <c r="O161" s="88"/>
      <c r="P161" s="89"/>
      <c r="Q161" s="90">
        <v>6.8500000000000005E-2</v>
      </c>
      <c r="R161" s="54">
        <v>1.9887751488813776E-3</v>
      </c>
      <c r="S161" s="55">
        <v>29293528.561597757</v>
      </c>
      <c r="T161" s="55"/>
    </row>
    <row r="162" spans="1:20" ht="13.5" customHeight="1" x14ac:dyDescent="0.2">
      <c r="A162" s="68">
        <v>41156</v>
      </c>
      <c r="B162" s="68">
        <v>41158</v>
      </c>
      <c r="C162" s="69" t="s">
        <v>102</v>
      </c>
      <c r="D162" s="70"/>
      <c r="E162" s="62"/>
      <c r="F162" s="72">
        <v>4.3749999999999997E-2</v>
      </c>
      <c r="G162" s="72"/>
      <c r="H162" s="72">
        <v>0.05</v>
      </c>
      <c r="I162" s="72"/>
      <c r="J162" s="62"/>
      <c r="K162" s="62"/>
      <c r="L162" s="74">
        <v>1000000</v>
      </c>
      <c r="M162" s="74">
        <v>182000</v>
      </c>
      <c r="N162" s="74"/>
      <c r="O162" s="74"/>
      <c r="P162" s="64"/>
      <c r="Q162" s="145"/>
      <c r="R162" s="100"/>
      <c r="S162" s="55">
        <f>O162*J162/$R$10</f>
        <v>0</v>
      </c>
      <c r="T162" s="55"/>
    </row>
    <row r="163" spans="1:20" ht="13.5" customHeight="1" x14ac:dyDescent="0.2">
      <c r="A163" s="58"/>
      <c r="B163" s="58"/>
      <c r="C163" s="17" t="s">
        <v>48</v>
      </c>
      <c r="D163" s="18">
        <v>43146</v>
      </c>
      <c r="E163" s="62">
        <v>4.4499999999999998E-2</v>
      </c>
      <c r="F163" s="62">
        <v>5.7812500000000003E-2</v>
      </c>
      <c r="G163" s="62"/>
      <c r="H163" s="62">
        <v>6.3125000000000001E-2</v>
      </c>
      <c r="I163" s="62">
        <v>5.7812500000000003E-2</v>
      </c>
      <c r="J163" s="62">
        <v>6.0042600000000002E-2</v>
      </c>
      <c r="K163" s="62"/>
      <c r="L163" s="63"/>
      <c r="M163" s="63">
        <v>870000</v>
      </c>
      <c r="N163" s="63"/>
      <c r="O163" s="63">
        <v>660000</v>
      </c>
      <c r="P163" s="64">
        <f t="shared" si="10"/>
        <v>1.3181818181818181</v>
      </c>
      <c r="Q163" s="100"/>
      <c r="R163" s="100"/>
      <c r="S163" s="55"/>
      <c r="T163" s="55"/>
    </row>
    <row r="164" spans="1:20" ht="13.5" customHeight="1" x14ac:dyDescent="0.2">
      <c r="A164" s="58"/>
      <c r="B164" s="58"/>
      <c r="C164" s="17" t="s">
        <v>49</v>
      </c>
      <c r="D164" s="18">
        <v>44576</v>
      </c>
      <c r="E164" s="62">
        <v>5.45E-2</v>
      </c>
      <c r="F164" s="62">
        <v>6.0937499999999999E-2</v>
      </c>
      <c r="G164" s="62"/>
      <c r="H164" s="62">
        <v>6.5000000000000002E-2</v>
      </c>
      <c r="I164" s="62">
        <v>6.0937499999999999E-2</v>
      </c>
      <c r="J164" s="62">
        <v>6.3195500000000002E-2</v>
      </c>
      <c r="K164" s="62"/>
      <c r="L164" s="63"/>
      <c r="M164" s="63">
        <v>390000</v>
      </c>
      <c r="N164" s="63"/>
      <c r="O164" s="63">
        <v>193000</v>
      </c>
      <c r="P164" s="64">
        <f t="shared" si="10"/>
        <v>2.0207253886010363</v>
      </c>
      <c r="Q164" s="100"/>
      <c r="R164" s="100"/>
      <c r="S164" s="55"/>
      <c r="T164" s="55"/>
    </row>
    <row r="165" spans="1:20" ht="13.5" customHeight="1" x14ac:dyDescent="0.2">
      <c r="A165" s="58"/>
      <c r="B165" s="58"/>
      <c r="C165" s="17" t="s">
        <v>50</v>
      </c>
      <c r="D165" s="18">
        <v>46402</v>
      </c>
      <c r="E165" s="62">
        <v>0.06</v>
      </c>
      <c r="F165" s="62">
        <v>6.6875000000000004E-2</v>
      </c>
      <c r="G165" s="62"/>
      <c r="H165" s="62">
        <v>7.1249999999999994E-2</v>
      </c>
      <c r="I165" s="62"/>
      <c r="J165" s="62"/>
      <c r="K165" s="62"/>
      <c r="L165" s="63"/>
      <c r="M165" s="63">
        <v>139000</v>
      </c>
      <c r="N165" s="63"/>
      <c r="O165" s="63"/>
      <c r="P165" s="64"/>
      <c r="Q165" s="100"/>
      <c r="R165" s="100" t="e">
        <f>O165*J165/$O$43</f>
        <v>#DIV/0!</v>
      </c>
      <c r="S165" s="55">
        <f>O165*J165/$R$10</f>
        <v>0</v>
      </c>
      <c r="T165" s="55"/>
    </row>
    <row r="166" spans="1:20" ht="13.5" customHeight="1" x14ac:dyDescent="0.2">
      <c r="A166" s="58"/>
      <c r="B166" s="58"/>
      <c r="C166" s="17" t="s">
        <v>53</v>
      </c>
      <c r="D166" s="18">
        <v>50086</v>
      </c>
      <c r="E166" s="62">
        <v>6.0999999999999999E-2</v>
      </c>
      <c r="F166" s="62">
        <v>6.7500000000000004E-2</v>
      </c>
      <c r="G166" s="62"/>
      <c r="H166" s="62">
        <v>7.3124999999999996E-2</v>
      </c>
      <c r="I166" s="62">
        <v>6.7500000000000004E-2</v>
      </c>
      <c r="J166" s="62">
        <v>6.7808900000000005E-2</v>
      </c>
      <c r="K166" s="62"/>
      <c r="L166" s="63"/>
      <c r="M166" s="63">
        <v>402000</v>
      </c>
      <c r="N166" s="63"/>
      <c r="O166" s="63">
        <v>250000</v>
      </c>
      <c r="P166" s="64">
        <f t="shared" si="10"/>
        <v>1.6080000000000001</v>
      </c>
      <c r="Q166" s="100"/>
      <c r="R166" s="100" t="e">
        <f>O166*J166/$O$43</f>
        <v>#DIV/0!</v>
      </c>
      <c r="S166" s="55">
        <f>O166*J166/$R$10</f>
        <v>17371275.050938465</v>
      </c>
      <c r="T166" s="55"/>
    </row>
    <row r="167" spans="1:20" ht="13.5" customHeight="1" x14ac:dyDescent="0.2">
      <c r="A167" s="112">
        <v>41163</v>
      </c>
      <c r="B167" s="112">
        <v>41165</v>
      </c>
      <c r="C167" s="113" t="s">
        <v>99</v>
      </c>
      <c r="D167" s="114">
        <v>41255</v>
      </c>
      <c r="E167" s="86"/>
      <c r="F167" s="116">
        <v>0.04</v>
      </c>
      <c r="G167" s="116">
        <v>4.1332500000000001E-2</v>
      </c>
      <c r="H167" s="116">
        <v>4.3749999999999997E-2</v>
      </c>
      <c r="I167" s="116">
        <v>0.04</v>
      </c>
      <c r="J167" s="86">
        <v>4.01819E-2</v>
      </c>
      <c r="K167" s="86">
        <v>4.0625000000000001E-2</v>
      </c>
      <c r="L167" s="118">
        <v>5000000</v>
      </c>
      <c r="M167" s="118">
        <v>4487000</v>
      </c>
      <c r="N167" s="118">
        <v>3650000</v>
      </c>
      <c r="O167" s="118">
        <v>1000000</v>
      </c>
      <c r="P167" s="89">
        <f>M167/O167</f>
        <v>4.4870000000000001</v>
      </c>
      <c r="Q167" s="120">
        <v>4.1000000000000002E-2</v>
      </c>
      <c r="R167" s="54"/>
      <c r="S167" s="55">
        <f>O167*J167/$R$10</f>
        <v>41175175.35127715</v>
      </c>
      <c r="T167" s="55"/>
    </row>
    <row r="168" spans="1:20" ht="13.5" customHeight="1" x14ac:dyDescent="0.2">
      <c r="A168" s="81"/>
      <c r="B168" s="81"/>
      <c r="C168" s="83" t="s">
        <v>100</v>
      </c>
      <c r="D168" s="84">
        <v>41164</v>
      </c>
      <c r="E168" s="86"/>
      <c r="F168" s="86">
        <v>4.5624999999999999E-2</v>
      </c>
      <c r="G168" s="86">
        <v>4.7959000000000002E-2</v>
      </c>
      <c r="H168" s="86">
        <v>5.5E-2</v>
      </c>
      <c r="I168" s="86">
        <v>4.5624999999999999E-2</v>
      </c>
      <c r="J168" s="86">
        <v>4.6062499999999999E-2</v>
      </c>
      <c r="K168" s="86">
        <v>4.6249999999999999E-2</v>
      </c>
      <c r="L168" s="88"/>
      <c r="M168" s="88">
        <v>1785000</v>
      </c>
      <c r="N168" s="88">
        <v>1100000</v>
      </c>
      <c r="O168" s="88">
        <v>1000000</v>
      </c>
      <c r="P168" s="89">
        <f>M168/O168</f>
        <v>1.7849999999999999</v>
      </c>
      <c r="Q168" s="90">
        <v>4.65E-2</v>
      </c>
      <c r="R168" s="54"/>
      <c r="S168" s="55"/>
      <c r="T168" s="55"/>
    </row>
    <row r="169" spans="1:20" ht="13.5" customHeight="1" x14ac:dyDescent="0.2">
      <c r="A169" s="81"/>
      <c r="B169" s="81"/>
      <c r="C169" s="83" t="s">
        <v>94</v>
      </c>
      <c r="D169" s="84">
        <v>45061</v>
      </c>
      <c r="E169" s="86">
        <v>5.6250000000000001E-2</v>
      </c>
      <c r="F169" s="86">
        <v>5.9374999999999997E-2</v>
      </c>
      <c r="G169" s="86">
        <v>6.0299499999999999E-2</v>
      </c>
      <c r="H169" s="86">
        <v>6.21875E-2</v>
      </c>
      <c r="I169" s="86">
        <v>5.9374999999999997E-2</v>
      </c>
      <c r="J169" s="86">
        <v>5.9670000000000001E-2</v>
      </c>
      <c r="K169" s="86">
        <v>5.9687499999999998E-2</v>
      </c>
      <c r="L169" s="88"/>
      <c r="M169" s="88">
        <v>2121500</v>
      </c>
      <c r="N169" s="88">
        <v>450000</v>
      </c>
      <c r="O169" s="88">
        <v>400000</v>
      </c>
      <c r="P169" s="89">
        <f>M169/O169</f>
        <v>5.30375</v>
      </c>
      <c r="Q169" s="90">
        <v>5.9700000000000003E-2</v>
      </c>
      <c r="R169" s="54">
        <v>0</v>
      </c>
      <c r="S169" s="55">
        <v>0</v>
      </c>
      <c r="T169" s="55"/>
    </row>
    <row r="170" spans="1:20" ht="13.5" customHeight="1" x14ac:dyDescent="0.2">
      <c r="A170" s="81"/>
      <c r="B170" s="81"/>
      <c r="C170" s="83" t="s">
        <v>95</v>
      </c>
      <c r="D170" s="84">
        <v>46888</v>
      </c>
      <c r="E170" s="86">
        <v>6.1249999999999999E-2</v>
      </c>
      <c r="F170" s="86">
        <v>6.3125000000000001E-2</v>
      </c>
      <c r="G170" s="86">
        <v>6.4128599999999994E-2</v>
      </c>
      <c r="H170" s="86">
        <v>6.7500000000000004E-2</v>
      </c>
      <c r="I170" s="86">
        <v>6.3125000000000001E-2</v>
      </c>
      <c r="J170" s="86">
        <v>6.3644900000000004E-2</v>
      </c>
      <c r="K170" s="86">
        <v>6.3750000000000001E-2</v>
      </c>
      <c r="L170" s="88"/>
      <c r="M170" s="88">
        <v>1750500</v>
      </c>
      <c r="N170" s="88">
        <v>650000</v>
      </c>
      <c r="O170" s="88">
        <v>600000</v>
      </c>
      <c r="P170" s="89">
        <f>M170/O170</f>
        <v>2.9175</v>
      </c>
      <c r="Q170" s="90">
        <v>6.3700000000000007E-2</v>
      </c>
      <c r="R170" s="54">
        <v>0</v>
      </c>
      <c r="S170" s="55">
        <v>0</v>
      </c>
      <c r="T170" s="55"/>
    </row>
    <row r="171" spans="1:20" ht="13.5" customHeight="1" x14ac:dyDescent="0.2">
      <c r="A171" s="81"/>
      <c r="B171" s="81"/>
      <c r="C171" s="83" t="s">
        <v>98</v>
      </c>
      <c r="D171" s="84">
        <v>48714</v>
      </c>
      <c r="E171" s="86">
        <v>6.6250000000000003E-2</v>
      </c>
      <c r="F171" s="86">
        <v>6.5937499999999996E-2</v>
      </c>
      <c r="G171" s="86">
        <v>6.7079E-2</v>
      </c>
      <c r="H171" s="86">
        <v>6.9375000000000006E-2</v>
      </c>
      <c r="I171" s="86">
        <v>6.5937499999999996E-2</v>
      </c>
      <c r="J171" s="86">
        <v>6.6852700000000001E-2</v>
      </c>
      <c r="K171" s="86">
        <v>6.7187499999999997E-2</v>
      </c>
      <c r="L171" s="88"/>
      <c r="M171" s="88">
        <v>3973000</v>
      </c>
      <c r="N171" s="88">
        <v>3450000</v>
      </c>
      <c r="O171" s="88">
        <v>3200000</v>
      </c>
      <c r="P171" s="89"/>
      <c r="Q171" s="90">
        <v>6.6900000000000001E-2</v>
      </c>
      <c r="R171" s="54">
        <v>1.9887751488813776E-3</v>
      </c>
      <c r="S171" s="55">
        <v>29293528.561597757</v>
      </c>
      <c r="T171" s="55"/>
    </row>
    <row r="172" spans="1:20" ht="13.5" customHeight="1" x14ac:dyDescent="0.2">
      <c r="A172" s="68">
        <v>41170</v>
      </c>
      <c r="B172" s="68">
        <v>41172</v>
      </c>
      <c r="C172" s="69" t="s">
        <v>101</v>
      </c>
      <c r="D172" s="70"/>
      <c r="E172" s="62"/>
      <c r="F172" s="72">
        <v>5.5E-2</v>
      </c>
      <c r="G172" s="72"/>
      <c r="H172" s="72">
        <v>5.7500000000000002E-2</v>
      </c>
      <c r="I172" s="72"/>
      <c r="J172" s="62"/>
      <c r="K172" s="62"/>
      <c r="L172" s="74">
        <v>1000000</v>
      </c>
      <c r="M172" s="74">
        <v>151000</v>
      </c>
      <c r="N172" s="74"/>
      <c r="O172" s="74"/>
      <c r="P172" s="64"/>
      <c r="Q172" s="145"/>
      <c r="R172" s="100"/>
      <c r="S172" s="55">
        <f>O172*J172/$R$10</f>
        <v>0</v>
      </c>
      <c r="T172" s="55"/>
    </row>
    <row r="173" spans="1:20" ht="13.5" customHeight="1" x14ac:dyDescent="0.2">
      <c r="A173" s="58"/>
      <c r="B173" s="58"/>
      <c r="C173" s="17" t="s">
        <v>48</v>
      </c>
      <c r="D173" s="18">
        <v>43146</v>
      </c>
      <c r="E173" s="62">
        <v>4.4499999999999998E-2</v>
      </c>
      <c r="F173" s="62">
        <v>5.9062499999999997E-2</v>
      </c>
      <c r="G173" s="62"/>
      <c r="H173" s="62">
        <v>6.5000000000000002E-2</v>
      </c>
      <c r="I173" s="62"/>
      <c r="J173" s="62"/>
      <c r="K173" s="62"/>
      <c r="L173" s="63"/>
      <c r="M173" s="63">
        <v>741000</v>
      </c>
      <c r="N173" s="63"/>
      <c r="O173" s="63"/>
      <c r="P173" s="64"/>
      <c r="Q173" s="100"/>
      <c r="R173" s="100"/>
      <c r="S173" s="55"/>
      <c r="T173" s="55"/>
    </row>
    <row r="174" spans="1:20" ht="13.5" customHeight="1" x14ac:dyDescent="0.2">
      <c r="A174" s="58"/>
      <c r="B174" s="58"/>
      <c r="C174" s="17" t="s">
        <v>49</v>
      </c>
      <c r="D174" s="18">
        <v>44576</v>
      </c>
      <c r="E174" s="62">
        <v>5.45E-2</v>
      </c>
      <c r="F174" s="62">
        <v>6.25E-2</v>
      </c>
      <c r="G174" s="62"/>
      <c r="H174" s="62">
        <v>6.7500000000000004E-2</v>
      </c>
      <c r="I174" s="62"/>
      <c r="J174" s="62"/>
      <c r="K174" s="62"/>
      <c r="L174" s="63"/>
      <c r="M174" s="63">
        <v>241000</v>
      </c>
      <c r="N174" s="63"/>
      <c r="O174" s="63"/>
      <c r="P174" s="64"/>
      <c r="Q174" s="100"/>
      <c r="R174" s="100"/>
      <c r="S174" s="55"/>
      <c r="T174" s="55"/>
    </row>
    <row r="175" spans="1:20" ht="13.5" customHeight="1" x14ac:dyDescent="0.2">
      <c r="A175" s="58"/>
      <c r="B175" s="58"/>
      <c r="C175" s="17" t="s">
        <v>50</v>
      </c>
      <c r="D175" s="18">
        <v>46402</v>
      </c>
      <c r="E175" s="62">
        <v>0.06</v>
      </c>
      <c r="F175" s="62">
        <v>6.5312499999999996E-2</v>
      </c>
      <c r="G175" s="62"/>
      <c r="H175" s="62">
        <v>7.0000000000000007E-2</v>
      </c>
      <c r="I175" s="62"/>
      <c r="J175" s="62"/>
      <c r="K175" s="62"/>
      <c r="L175" s="63"/>
      <c r="M175" s="63">
        <v>26000</v>
      </c>
      <c r="N175" s="63"/>
      <c r="O175" s="63"/>
      <c r="P175" s="64"/>
      <c r="Q175" s="100"/>
      <c r="R175" s="100" t="e">
        <f>O175*J175/$O$43</f>
        <v>#DIV/0!</v>
      </c>
      <c r="S175" s="55">
        <f>O175*J175/$R$10</f>
        <v>0</v>
      </c>
      <c r="T175" s="55"/>
    </row>
    <row r="176" spans="1:20" ht="13.5" customHeight="1" x14ac:dyDescent="0.2">
      <c r="A176" s="58"/>
      <c r="B176" s="58"/>
      <c r="C176" s="17" t="s">
        <v>53</v>
      </c>
      <c r="D176" s="18">
        <v>50086</v>
      </c>
      <c r="E176" s="62">
        <v>6.0999999999999999E-2</v>
      </c>
      <c r="F176" s="62">
        <v>6.7500000000000004E-2</v>
      </c>
      <c r="G176" s="62"/>
      <c r="H176" s="62">
        <v>7.2499999999999995E-2</v>
      </c>
      <c r="I176" s="62"/>
      <c r="J176" s="62"/>
      <c r="K176" s="62"/>
      <c r="L176" s="63"/>
      <c r="M176" s="63">
        <v>206000</v>
      </c>
      <c r="N176" s="63"/>
      <c r="O176" s="63"/>
      <c r="P176" s="64"/>
      <c r="Q176" s="100"/>
      <c r="R176" s="100" t="e">
        <f>O176*J176/$O$43</f>
        <v>#DIV/0!</v>
      </c>
      <c r="S176" s="55">
        <f>O176*J176/$R$10</f>
        <v>0</v>
      </c>
      <c r="T176" s="55"/>
    </row>
    <row r="177" spans="1:20" ht="13.5" customHeight="1" x14ac:dyDescent="0.2">
      <c r="A177" s="112">
        <v>41177</v>
      </c>
      <c r="B177" s="112">
        <f>A177+2</f>
        <v>41179</v>
      </c>
      <c r="C177" s="113" t="s">
        <v>100</v>
      </c>
      <c r="D177" s="114">
        <v>41529</v>
      </c>
      <c r="E177" s="86"/>
      <c r="F177" s="116">
        <v>4.5937499999999999E-2</v>
      </c>
      <c r="G177" s="116">
        <v>4.7070300000000002E-2</v>
      </c>
      <c r="H177" s="116">
        <v>0.05</v>
      </c>
      <c r="I177" s="116">
        <v>4.5937499999999999E-2</v>
      </c>
      <c r="J177" s="86">
        <v>4.6809400000000001E-2</v>
      </c>
      <c r="K177" s="86">
        <v>4.7500000000000001E-2</v>
      </c>
      <c r="L177" s="118">
        <v>5000000</v>
      </c>
      <c r="M177" s="118">
        <v>1796000</v>
      </c>
      <c r="N177" s="118">
        <v>1150000</v>
      </c>
      <c r="O177" s="118">
        <v>1000000</v>
      </c>
      <c r="P177" s="89">
        <f t="shared" ref="P177:P192" si="11">M177/O177</f>
        <v>1.796</v>
      </c>
      <c r="Q177" s="120">
        <v>4.7E-2</v>
      </c>
      <c r="R177" s="54"/>
      <c r="S177" s="55">
        <f>O177*J177/$R$10</f>
        <v>47966503.651845053</v>
      </c>
      <c r="T177" s="55"/>
    </row>
    <row r="178" spans="1:20" ht="13.5" customHeight="1" x14ac:dyDescent="0.2">
      <c r="A178" s="81"/>
      <c r="B178" s="81"/>
      <c r="C178" s="83" t="s">
        <v>34</v>
      </c>
      <c r="D178" s="84">
        <v>42840</v>
      </c>
      <c r="E178" s="86">
        <v>6.25E-2</v>
      </c>
      <c r="F178" s="86">
        <v>5.2812499999999998E-2</v>
      </c>
      <c r="G178" s="86">
        <v>5.5194300000000002E-2</v>
      </c>
      <c r="H178" s="86">
        <v>5.7500000000000002E-2</v>
      </c>
      <c r="I178" s="86">
        <v>5.2812499999999998E-2</v>
      </c>
      <c r="J178" s="86">
        <v>5.44783E-2</v>
      </c>
      <c r="K178" s="86">
        <v>5.5312500000000001E-2</v>
      </c>
      <c r="L178" s="88"/>
      <c r="M178" s="88">
        <v>1761000</v>
      </c>
      <c r="N178" s="88">
        <v>950000</v>
      </c>
      <c r="O178" s="88">
        <v>950000</v>
      </c>
      <c r="P178" s="89">
        <f t="shared" si="11"/>
        <v>1.8536842105263158</v>
      </c>
      <c r="Q178" s="90">
        <v>5.45E-2</v>
      </c>
      <c r="R178" s="54">
        <v>0</v>
      </c>
      <c r="S178" s="55">
        <v>0</v>
      </c>
      <c r="T178" s="55"/>
    </row>
    <row r="179" spans="1:20" ht="13.5" customHeight="1" x14ac:dyDescent="0.2">
      <c r="A179" s="81"/>
      <c r="B179" s="81"/>
      <c r="C179" s="83" t="s">
        <v>94</v>
      </c>
      <c r="D179" s="84">
        <v>45061</v>
      </c>
      <c r="E179" s="86">
        <v>5.6250000000000001E-2</v>
      </c>
      <c r="F179" s="86">
        <v>5.9062499999999997E-2</v>
      </c>
      <c r="G179" s="86">
        <v>6.0377800000000002E-2</v>
      </c>
      <c r="H179" s="86">
        <v>6.21875E-2</v>
      </c>
      <c r="I179" s="86">
        <v>5.9062499999999997E-2</v>
      </c>
      <c r="J179" s="86">
        <v>5.9893099999999998E-2</v>
      </c>
      <c r="K179" s="86">
        <v>6.0312499999999998E-2</v>
      </c>
      <c r="L179" s="88"/>
      <c r="M179" s="88">
        <v>4200800</v>
      </c>
      <c r="N179" s="88">
        <v>2200000</v>
      </c>
      <c r="O179" s="88">
        <v>2200000</v>
      </c>
      <c r="P179" s="89">
        <f t="shared" si="11"/>
        <v>1.9094545454545455</v>
      </c>
      <c r="Q179" s="90">
        <v>5.9900000000000002E-2</v>
      </c>
      <c r="R179" s="54">
        <v>0</v>
      </c>
      <c r="S179" s="55">
        <v>0</v>
      </c>
      <c r="T179" s="55"/>
    </row>
    <row r="180" spans="1:20" ht="13.5" customHeight="1" x14ac:dyDescent="0.2">
      <c r="A180" s="81"/>
      <c r="B180" s="81"/>
      <c r="C180" s="83" t="s">
        <v>98</v>
      </c>
      <c r="D180" s="84">
        <v>48714</v>
      </c>
      <c r="E180" s="86">
        <v>6.6250000000000003E-2</v>
      </c>
      <c r="F180" s="86">
        <v>6.6875000000000004E-2</v>
      </c>
      <c r="G180" s="86">
        <v>6.7796400000000007E-2</v>
      </c>
      <c r="H180" s="86">
        <v>6.9062499999999999E-2</v>
      </c>
      <c r="I180" s="86">
        <v>6.6875000000000004E-2</v>
      </c>
      <c r="J180" s="86">
        <v>6.7299300000000006E-2</v>
      </c>
      <c r="K180" s="86">
        <v>6.7500000000000004E-2</v>
      </c>
      <c r="L180" s="88"/>
      <c r="M180" s="88">
        <v>4118000</v>
      </c>
      <c r="N180" s="88">
        <v>1150000</v>
      </c>
      <c r="O180" s="88">
        <v>1150000</v>
      </c>
      <c r="P180" s="89">
        <f t="shared" si="11"/>
        <v>3.5808695652173914</v>
      </c>
      <c r="Q180" s="90">
        <v>6.7299999999999999E-2</v>
      </c>
      <c r="R180" s="54">
        <v>1.9887751488813776E-3</v>
      </c>
      <c r="S180" s="55">
        <v>29293528.561597757</v>
      </c>
      <c r="T180" s="55"/>
    </row>
    <row r="181" spans="1:20" ht="13.5" customHeight="1" x14ac:dyDescent="0.2">
      <c r="A181" s="68">
        <v>41184</v>
      </c>
      <c r="B181" s="68">
        <v>41186</v>
      </c>
      <c r="C181" s="69" t="s">
        <v>108</v>
      </c>
      <c r="D181" s="70">
        <v>41367</v>
      </c>
      <c r="E181" s="62"/>
      <c r="F181" s="72">
        <v>4.4999999999999998E-2</v>
      </c>
      <c r="G181" s="72"/>
      <c r="H181" s="72">
        <v>5.7500000000000002E-2</v>
      </c>
      <c r="I181" s="72">
        <v>4.4999999999999998E-2</v>
      </c>
      <c r="J181" s="62">
        <v>4.6944399999999997E-2</v>
      </c>
      <c r="K181" s="62"/>
      <c r="L181" s="74">
        <v>1000000</v>
      </c>
      <c r="M181" s="74">
        <v>265000</v>
      </c>
      <c r="N181" s="74"/>
      <c r="O181" s="74">
        <v>90000</v>
      </c>
      <c r="P181" s="64">
        <f t="shared" si="11"/>
        <v>2.9444444444444446</v>
      </c>
      <c r="Q181" s="145"/>
      <c r="R181" s="100"/>
      <c r="S181" s="55">
        <f>O181*J181/$R$10</f>
        <v>4329435.6702506486</v>
      </c>
      <c r="T181" s="55"/>
    </row>
    <row r="182" spans="1:20" ht="13.5" customHeight="1" x14ac:dyDescent="0.2">
      <c r="A182" s="58"/>
      <c r="B182" s="58"/>
      <c r="C182" s="17" t="s">
        <v>48</v>
      </c>
      <c r="D182" s="18">
        <v>43146</v>
      </c>
      <c r="E182" s="62">
        <v>4.4499999999999998E-2</v>
      </c>
      <c r="F182" s="62">
        <v>5.9687499999999998E-2</v>
      </c>
      <c r="G182" s="62"/>
      <c r="H182" s="62">
        <v>6.5000000000000002E-2</v>
      </c>
      <c r="I182" s="62">
        <v>5.9687499999999998E-2</v>
      </c>
      <c r="J182" s="62">
        <v>6.0198000000000002E-2</v>
      </c>
      <c r="K182" s="62"/>
      <c r="L182" s="63"/>
      <c r="M182" s="63">
        <v>756000</v>
      </c>
      <c r="N182" s="63"/>
      <c r="O182" s="63">
        <v>460000</v>
      </c>
      <c r="P182" s="64">
        <f t="shared" si="11"/>
        <v>1.6434782608695653</v>
      </c>
      <c r="Q182" s="100"/>
      <c r="R182" s="100"/>
      <c r="S182" s="55"/>
      <c r="T182" s="55"/>
    </row>
    <row r="183" spans="1:20" ht="13.5" customHeight="1" x14ac:dyDescent="0.2">
      <c r="A183" s="58"/>
      <c r="B183" s="58"/>
      <c r="C183" s="17" t="s">
        <v>49</v>
      </c>
      <c r="D183" s="18">
        <v>44576</v>
      </c>
      <c r="E183" s="62">
        <v>5.45E-2</v>
      </c>
      <c r="F183" s="62">
        <v>6.25E-2</v>
      </c>
      <c r="G183" s="62"/>
      <c r="H183" s="62">
        <v>6.7500000000000004E-2</v>
      </c>
      <c r="I183" s="62"/>
      <c r="J183" s="62"/>
      <c r="K183" s="62"/>
      <c r="L183" s="63"/>
      <c r="M183" s="63">
        <v>209000</v>
      </c>
      <c r="N183" s="63"/>
      <c r="O183" s="63"/>
      <c r="P183" s="64"/>
      <c r="Q183" s="100"/>
      <c r="R183" s="100"/>
      <c r="S183" s="55"/>
      <c r="T183" s="55"/>
    </row>
    <row r="184" spans="1:20" ht="13.5" customHeight="1" x14ac:dyDescent="0.2">
      <c r="A184" s="58"/>
      <c r="B184" s="58"/>
      <c r="C184" s="17" t="s">
        <v>50</v>
      </c>
      <c r="D184" s="18">
        <v>46402</v>
      </c>
      <c r="E184" s="62">
        <v>0.06</v>
      </c>
      <c r="F184" s="62">
        <v>6.6250000000000003E-2</v>
      </c>
      <c r="G184" s="62"/>
      <c r="H184" s="62">
        <v>7.0000000000000007E-2</v>
      </c>
      <c r="I184" s="62"/>
      <c r="J184" s="62"/>
      <c r="K184" s="62"/>
      <c r="L184" s="63"/>
      <c r="M184" s="63">
        <v>68000</v>
      </c>
      <c r="N184" s="63"/>
      <c r="O184" s="63"/>
      <c r="P184" s="64"/>
      <c r="Q184" s="100"/>
      <c r="R184" s="100" t="e">
        <f>O184*J184/$O$43</f>
        <v>#DIV/0!</v>
      </c>
      <c r="S184" s="55">
        <f>O184*J184/$R$10</f>
        <v>0</v>
      </c>
      <c r="T184" s="55"/>
    </row>
    <row r="185" spans="1:20" ht="13.5" customHeight="1" x14ac:dyDescent="0.2">
      <c r="A185" s="58"/>
      <c r="B185" s="58"/>
      <c r="C185" s="17" t="s">
        <v>53</v>
      </c>
      <c r="D185" s="18">
        <v>50086</v>
      </c>
      <c r="E185" s="62">
        <v>6.0999999999999999E-2</v>
      </c>
      <c r="F185" s="62">
        <v>6.8125000000000005E-2</v>
      </c>
      <c r="G185" s="62"/>
      <c r="H185" s="62">
        <v>7.2499999999999995E-2</v>
      </c>
      <c r="I185" s="62">
        <v>6.8125000000000005E-2</v>
      </c>
      <c r="J185" s="62">
        <v>6.8398899999999999E-2</v>
      </c>
      <c r="K185" s="62"/>
      <c r="L185" s="63"/>
      <c r="M185" s="63">
        <v>102000</v>
      </c>
      <c r="N185" s="63"/>
      <c r="O185" s="63">
        <v>81000</v>
      </c>
      <c r="P185" s="64">
        <f t="shared" si="11"/>
        <v>1.2592592592592593</v>
      </c>
      <c r="Q185" s="100"/>
      <c r="R185" s="100" t="e">
        <f>O185*J185/$O$43</f>
        <v>#DIV/0!</v>
      </c>
      <c r="S185" s="55">
        <f>O185*J185/$R$10</f>
        <v>5677264.4600701332</v>
      </c>
      <c r="T185" s="55"/>
    </row>
    <row r="186" spans="1:20" ht="13.5" customHeight="1" x14ac:dyDescent="0.2">
      <c r="A186" s="112">
        <v>41186</v>
      </c>
      <c r="B186" s="112">
        <v>41190</v>
      </c>
      <c r="C186" s="113" t="s">
        <v>105</v>
      </c>
      <c r="D186" s="114">
        <v>41281</v>
      </c>
      <c r="E186" s="86"/>
      <c r="F186" s="116">
        <v>3.9687500000000001E-2</v>
      </c>
      <c r="G186" s="116">
        <v>4.1053199999999998E-2</v>
      </c>
      <c r="H186" s="116">
        <v>0.05</v>
      </c>
      <c r="I186" s="116">
        <v>3.9687500000000001E-2</v>
      </c>
      <c r="J186" s="86">
        <v>4.0156299999999999E-2</v>
      </c>
      <c r="K186" s="86">
        <v>4.0312500000000001E-2</v>
      </c>
      <c r="L186" s="118">
        <v>5000000</v>
      </c>
      <c r="M186" s="118">
        <v>3711000</v>
      </c>
      <c r="N186" s="118">
        <v>2350000</v>
      </c>
      <c r="O186" s="118">
        <v>1000000</v>
      </c>
      <c r="P186" s="89">
        <f t="shared" si="11"/>
        <v>3.7109999999999999</v>
      </c>
      <c r="Q186" s="120">
        <v>4.0500000000000001E-2</v>
      </c>
      <c r="R186" s="54"/>
      <c r="S186" s="55">
        <f>O186*J186/$R$10</f>
        <v>41148942.532794379</v>
      </c>
      <c r="T186" s="55"/>
    </row>
    <row r="187" spans="1:20" ht="13.5" customHeight="1" x14ac:dyDescent="0.2">
      <c r="A187" s="81"/>
      <c r="B187" s="81"/>
      <c r="C187" s="83" t="s">
        <v>106</v>
      </c>
      <c r="D187" s="84">
        <v>41554</v>
      </c>
      <c r="E187" s="86"/>
      <c r="F187" s="86">
        <v>4.0937500000000002E-2</v>
      </c>
      <c r="G187" s="86">
        <v>4.6291100000000002E-2</v>
      </c>
      <c r="H187" s="86">
        <v>0.05</v>
      </c>
      <c r="I187" s="86">
        <v>4.0937500000000002E-2</v>
      </c>
      <c r="J187" s="86">
        <v>4.4499999999999998E-2</v>
      </c>
      <c r="K187" s="86">
        <v>4.6875E-2</v>
      </c>
      <c r="L187" s="88"/>
      <c r="M187" s="88">
        <v>2450000</v>
      </c>
      <c r="N187" s="88">
        <v>2450000</v>
      </c>
      <c r="O187" s="88">
        <v>1000000</v>
      </c>
      <c r="P187" s="89">
        <f t="shared" si="11"/>
        <v>2.4500000000000002</v>
      </c>
      <c r="Q187" s="90">
        <v>4.6800000000000001E-2</v>
      </c>
      <c r="R187" s="54"/>
      <c r="S187" s="55"/>
      <c r="T187" s="55"/>
    </row>
    <row r="188" spans="1:20" ht="13.5" customHeight="1" x14ac:dyDescent="0.2">
      <c r="A188" s="81"/>
      <c r="B188" s="81"/>
      <c r="C188" s="83" t="s">
        <v>94</v>
      </c>
      <c r="D188" s="84">
        <v>45061</v>
      </c>
      <c r="E188" s="86">
        <v>5.6250000000000001E-2</v>
      </c>
      <c r="F188" s="86">
        <v>5.8437500000000003E-2</v>
      </c>
      <c r="G188" s="86">
        <v>5.9094099999999997E-2</v>
      </c>
      <c r="H188" s="86">
        <v>6.0312499999999998E-2</v>
      </c>
      <c r="I188" s="86">
        <v>5.8437500000000003E-2</v>
      </c>
      <c r="J188" s="86">
        <v>5.8699099999999997E-2</v>
      </c>
      <c r="K188" s="86">
        <v>5.8749999999999997E-2</v>
      </c>
      <c r="L188" s="88"/>
      <c r="M188" s="88">
        <v>3366000</v>
      </c>
      <c r="N188" s="88">
        <v>3366000</v>
      </c>
      <c r="O188" s="88">
        <v>1600000</v>
      </c>
      <c r="P188" s="89">
        <f t="shared" si="11"/>
        <v>2.1037499999999998</v>
      </c>
      <c r="Q188" s="90">
        <v>5.91E-2</v>
      </c>
      <c r="R188" s="54">
        <v>0</v>
      </c>
      <c r="S188" s="55">
        <v>0</v>
      </c>
      <c r="T188" s="55"/>
    </row>
    <row r="189" spans="1:20" ht="13.5" customHeight="1" x14ac:dyDescent="0.2">
      <c r="A189" s="81"/>
      <c r="B189" s="81"/>
      <c r="C189" s="83" t="s">
        <v>95</v>
      </c>
      <c r="D189" s="84">
        <v>46888</v>
      </c>
      <c r="E189" s="86">
        <v>6.1249999999999999E-2</v>
      </c>
      <c r="F189" s="86">
        <v>6.21875E-2</v>
      </c>
      <c r="G189" s="86">
        <v>6.3306899999999999E-2</v>
      </c>
      <c r="H189" s="86">
        <v>6.5312499999999996E-2</v>
      </c>
      <c r="I189" s="86">
        <v>6.21875E-2</v>
      </c>
      <c r="J189" s="86">
        <v>6.2998399999999996E-2</v>
      </c>
      <c r="K189" s="86">
        <v>6.3125000000000001E-2</v>
      </c>
      <c r="L189" s="88"/>
      <c r="M189" s="88">
        <v>2547500</v>
      </c>
      <c r="N189" s="88">
        <v>1500000</v>
      </c>
      <c r="O189" s="88">
        <v>1500000</v>
      </c>
      <c r="P189" s="89">
        <f t="shared" si="11"/>
        <v>1.6983333333333333</v>
      </c>
      <c r="Q189" s="90">
        <v>6.3E-2</v>
      </c>
      <c r="R189" s="54">
        <v>0</v>
      </c>
      <c r="S189" s="55">
        <v>0</v>
      </c>
      <c r="T189" s="55"/>
    </row>
    <row r="190" spans="1:20" ht="13.5" customHeight="1" x14ac:dyDescent="0.2">
      <c r="A190" s="81"/>
      <c r="B190" s="81"/>
      <c r="C190" s="83" t="s">
        <v>98</v>
      </c>
      <c r="D190" s="84">
        <v>48714</v>
      </c>
      <c r="E190" s="86">
        <v>6.6250000000000003E-2</v>
      </c>
      <c r="F190" s="86">
        <v>6.5312499999999996E-2</v>
      </c>
      <c r="G190" s="86">
        <v>6.6240099999999996E-2</v>
      </c>
      <c r="H190" s="86">
        <v>6.8125000000000005E-2</v>
      </c>
      <c r="I190" s="86">
        <v>6.5312499999999996E-2</v>
      </c>
      <c r="J190" s="86">
        <v>6.5821299999999999E-2</v>
      </c>
      <c r="K190" s="86">
        <v>6.5937499999999996E-2</v>
      </c>
      <c r="L190" s="88"/>
      <c r="M190" s="88">
        <v>6752400</v>
      </c>
      <c r="N190" s="88">
        <v>6752400</v>
      </c>
      <c r="O190" s="88">
        <v>2400000</v>
      </c>
      <c r="P190" s="89">
        <f t="shared" si="11"/>
        <v>2.8134999999999999</v>
      </c>
      <c r="Q190" s="90">
        <v>6.6299999999999998E-2</v>
      </c>
      <c r="R190" s="54">
        <v>1.9887751488813776E-3</v>
      </c>
      <c r="S190" s="55">
        <v>29293528.561597757</v>
      </c>
      <c r="T190" s="55"/>
    </row>
    <row r="191" spans="1:20" ht="13.5" customHeight="1" x14ac:dyDescent="0.2">
      <c r="A191" s="68">
        <v>41190</v>
      </c>
      <c r="B191" s="68">
        <f>A191+2</f>
        <v>41192</v>
      </c>
      <c r="C191" s="17" t="s">
        <v>107</v>
      </c>
      <c r="D191" s="18">
        <v>42292</v>
      </c>
      <c r="E191" s="62">
        <v>6.25E-2</v>
      </c>
      <c r="F191" s="72"/>
      <c r="G191" s="72"/>
      <c r="H191" s="72"/>
      <c r="I191" s="72"/>
      <c r="J191" s="62">
        <v>6.25E-2</v>
      </c>
      <c r="K191" s="62"/>
      <c r="L191" s="74">
        <v>12000000</v>
      </c>
      <c r="M191" s="74">
        <v>12765145</v>
      </c>
      <c r="N191" s="74">
        <v>12676745</v>
      </c>
      <c r="O191" s="74">
        <v>12676745</v>
      </c>
      <c r="P191" s="64">
        <f t="shared" si="11"/>
        <v>1.0069733989285103</v>
      </c>
      <c r="Q191" s="145"/>
      <c r="R191" s="100"/>
      <c r="S191" s="55">
        <f>O191*J191/$R$10</f>
        <v>811881715.17901385</v>
      </c>
      <c r="T191" s="55"/>
    </row>
    <row r="192" spans="1:20" ht="13.5" customHeight="1" x14ac:dyDescent="0.2">
      <c r="A192" s="112">
        <v>41198</v>
      </c>
      <c r="B192" s="112">
        <v>41200</v>
      </c>
      <c r="C192" s="113" t="s">
        <v>109</v>
      </c>
      <c r="D192" s="114">
        <v>41381</v>
      </c>
      <c r="E192" s="86"/>
      <c r="F192" s="116">
        <v>4.7500000000000001E-2</v>
      </c>
      <c r="G192" s="116"/>
      <c r="H192" s="116">
        <v>5.5E-2</v>
      </c>
      <c r="I192" s="116">
        <v>4.7500000000000001E-2</v>
      </c>
      <c r="J192" s="86">
        <v>4.7500000000000001E-2</v>
      </c>
      <c r="K192" s="86"/>
      <c r="L192" s="118">
        <v>1000000</v>
      </c>
      <c r="M192" s="118">
        <v>226000</v>
      </c>
      <c r="N192" s="118"/>
      <c r="O192" s="118">
        <v>105000</v>
      </c>
      <c r="P192" s="89">
        <f t="shared" si="11"/>
        <v>2.1523809523809523</v>
      </c>
      <c r="Q192" s="120"/>
      <c r="R192" s="54"/>
      <c r="S192" s="55">
        <f>O192*J192/$R$10</f>
        <v>5110788.3665156402</v>
      </c>
      <c r="T192" s="55"/>
    </row>
    <row r="193" spans="1:20" ht="13.5" customHeight="1" x14ac:dyDescent="0.2">
      <c r="A193" s="81"/>
      <c r="B193" s="81"/>
      <c r="C193" s="83" t="s">
        <v>48</v>
      </c>
      <c r="D193" s="84">
        <v>43146</v>
      </c>
      <c r="E193" s="86">
        <v>4.4499999999999998E-2</v>
      </c>
      <c r="F193" s="86">
        <v>5.9374999999999997E-2</v>
      </c>
      <c r="G193" s="86"/>
      <c r="H193" s="86">
        <v>6.5000000000000002E-2</v>
      </c>
      <c r="I193" s="86"/>
      <c r="J193" s="86"/>
      <c r="K193" s="86"/>
      <c r="L193" s="88"/>
      <c r="M193" s="88">
        <v>1256000</v>
      </c>
      <c r="N193" s="88"/>
      <c r="O193" s="88"/>
      <c r="P193" s="89"/>
      <c r="Q193" s="90"/>
      <c r="R193" s="54"/>
      <c r="S193" s="55"/>
      <c r="T193" s="55"/>
    </row>
    <row r="194" spans="1:20" ht="13.5" customHeight="1" x14ac:dyDescent="0.2">
      <c r="A194" s="81"/>
      <c r="B194" s="81"/>
      <c r="C194" s="83" t="s">
        <v>49</v>
      </c>
      <c r="D194" s="84">
        <v>44576</v>
      </c>
      <c r="E194" s="86">
        <v>5.45E-2</v>
      </c>
      <c r="F194" s="86">
        <v>6.1562499999999999E-2</v>
      </c>
      <c r="G194" s="86"/>
      <c r="H194" s="86">
        <v>7.0000000000000007E-2</v>
      </c>
      <c r="I194" s="86"/>
      <c r="J194" s="86"/>
      <c r="K194" s="86"/>
      <c r="L194" s="88"/>
      <c r="M194" s="88">
        <v>193000</v>
      </c>
      <c r="N194" s="88"/>
      <c r="O194" s="88"/>
      <c r="P194" s="89"/>
      <c r="Q194" s="90"/>
      <c r="R194" s="54"/>
      <c r="S194" s="55"/>
      <c r="T194" s="55"/>
    </row>
    <row r="195" spans="1:20" ht="13.5" customHeight="1" x14ac:dyDescent="0.2">
      <c r="A195" s="81"/>
      <c r="B195" s="81"/>
      <c r="C195" s="83" t="s">
        <v>50</v>
      </c>
      <c r="D195" s="84">
        <v>46402</v>
      </c>
      <c r="E195" s="86">
        <v>0.06</v>
      </c>
      <c r="F195" s="86">
        <v>6.5625000000000003E-2</v>
      </c>
      <c r="G195" s="86"/>
      <c r="H195" s="86">
        <v>7.2499999999999995E-2</v>
      </c>
      <c r="I195" s="86"/>
      <c r="J195" s="86"/>
      <c r="K195" s="86"/>
      <c r="L195" s="88"/>
      <c r="M195" s="88">
        <v>205000</v>
      </c>
      <c r="N195" s="88"/>
      <c r="O195" s="88"/>
      <c r="P195" s="89"/>
      <c r="Q195" s="90"/>
      <c r="R195" s="54" t="e">
        <f>O195*J195/$O$43</f>
        <v>#DIV/0!</v>
      </c>
      <c r="S195" s="55">
        <f>O195*J195/$R$10</f>
        <v>0</v>
      </c>
      <c r="T195" s="55"/>
    </row>
    <row r="196" spans="1:20" ht="13.5" customHeight="1" x14ac:dyDescent="0.2">
      <c r="A196" s="81"/>
      <c r="B196" s="81"/>
      <c r="C196" s="83" t="s">
        <v>53</v>
      </c>
      <c r="D196" s="84">
        <v>50086</v>
      </c>
      <c r="E196" s="86">
        <v>6.0999999999999999E-2</v>
      </c>
      <c r="F196" s="86">
        <v>6.7187499999999997E-2</v>
      </c>
      <c r="G196" s="86"/>
      <c r="H196" s="86">
        <v>7.4999999999999997E-2</v>
      </c>
      <c r="I196" s="86">
        <v>6.7187499999999997E-2</v>
      </c>
      <c r="J196" s="86">
        <v>6.8368899999999996E-2</v>
      </c>
      <c r="K196" s="86"/>
      <c r="L196" s="88"/>
      <c r="M196" s="88">
        <v>261000</v>
      </c>
      <c r="N196" s="88"/>
      <c r="O196" s="88">
        <v>260000</v>
      </c>
      <c r="P196" s="89">
        <f t="shared" ref="P196:P202" si="12">M196/O196</f>
        <v>1.0038461538461538</v>
      </c>
      <c r="Q196" s="90"/>
      <c r="R196" s="54" t="e">
        <f>O196*J196/$O$43</f>
        <v>#DIV/0!</v>
      </c>
      <c r="S196" s="55">
        <f>O196*J196/$R$10</f>
        <v>18215325.208096739</v>
      </c>
      <c r="T196" s="55"/>
    </row>
    <row r="197" spans="1:20" ht="13.5" customHeight="1" x14ac:dyDescent="0.2">
      <c r="A197" s="68">
        <v>41205</v>
      </c>
      <c r="B197" s="68">
        <v>41207</v>
      </c>
      <c r="C197" s="17" t="s">
        <v>106</v>
      </c>
      <c r="D197" s="18">
        <v>41554</v>
      </c>
      <c r="E197" s="62"/>
      <c r="F197" s="62">
        <v>4.4687499999999998E-2</v>
      </c>
      <c r="G197" s="62">
        <v>4.72273E-2</v>
      </c>
      <c r="H197" s="62">
        <v>4.8125000000000001E-2</v>
      </c>
      <c r="I197" s="62">
        <v>4.4687499999999998E-2</v>
      </c>
      <c r="J197" s="62">
        <v>4.5656299999999997E-2</v>
      </c>
      <c r="K197" s="62">
        <v>4.6875E-2</v>
      </c>
      <c r="L197" s="63">
        <v>6000000</v>
      </c>
      <c r="M197" s="63">
        <v>1510000</v>
      </c>
      <c r="N197" s="63">
        <v>200000</v>
      </c>
      <c r="O197" s="63">
        <v>200000</v>
      </c>
      <c r="P197" s="64">
        <f t="shared" si="12"/>
        <v>7.55</v>
      </c>
      <c r="Q197" s="100">
        <v>4.5999999999999999E-2</v>
      </c>
      <c r="R197" s="100"/>
      <c r="S197" s="55"/>
      <c r="T197" s="55"/>
    </row>
    <row r="198" spans="1:20" ht="13.5" customHeight="1" x14ac:dyDescent="0.2">
      <c r="A198" s="58"/>
      <c r="B198" s="58"/>
      <c r="C198" s="17" t="s">
        <v>110</v>
      </c>
      <c r="D198" s="18">
        <v>45061</v>
      </c>
      <c r="E198" s="62">
        <v>5.6250000000000001E-2</v>
      </c>
      <c r="F198" s="62">
        <v>5.1874999999999998E-2</v>
      </c>
      <c r="G198" s="62">
        <v>5.44795E-2</v>
      </c>
      <c r="H198" s="62">
        <v>5.6562500000000002E-2</v>
      </c>
      <c r="I198" s="62">
        <v>5.1874999999999998E-2</v>
      </c>
      <c r="J198" s="62">
        <v>5.3864299999999997E-2</v>
      </c>
      <c r="K198" s="62">
        <v>5.46875E-2</v>
      </c>
      <c r="L198" s="63"/>
      <c r="M198" s="63">
        <v>4306000</v>
      </c>
      <c r="N198" s="63">
        <v>3100000</v>
      </c>
      <c r="O198" s="63">
        <v>2550000</v>
      </c>
      <c r="P198" s="64">
        <f t="shared" si="12"/>
        <v>1.6886274509803922</v>
      </c>
      <c r="Q198" s="100">
        <v>5.4100000000000002E-2</v>
      </c>
      <c r="R198" s="100">
        <v>0</v>
      </c>
      <c r="S198" s="55">
        <v>0</v>
      </c>
      <c r="T198" s="55"/>
    </row>
    <row r="199" spans="1:20" ht="13.5" customHeight="1" x14ac:dyDescent="0.2">
      <c r="A199" s="58"/>
      <c r="B199" s="58"/>
      <c r="C199" s="17" t="s">
        <v>94</v>
      </c>
      <c r="D199" s="18">
        <v>45061</v>
      </c>
      <c r="E199" s="62">
        <v>5.6250000000000001E-2</v>
      </c>
      <c r="F199" s="62">
        <v>5.5625000000000001E-2</v>
      </c>
      <c r="G199" s="62">
        <v>5.7547000000000001E-2</v>
      </c>
      <c r="H199" s="62">
        <v>5.8749999999999997E-2</v>
      </c>
      <c r="I199" s="62">
        <v>5.5625000000000001E-2</v>
      </c>
      <c r="J199" s="62">
        <v>5.7285700000000002E-2</v>
      </c>
      <c r="K199" s="62">
        <v>5.7500000000000002E-2</v>
      </c>
      <c r="L199" s="63"/>
      <c r="M199" s="63">
        <v>4917000</v>
      </c>
      <c r="N199" s="63">
        <v>3300000</v>
      </c>
      <c r="O199" s="63">
        <v>3250000</v>
      </c>
      <c r="P199" s="64">
        <f t="shared" si="12"/>
        <v>1.5129230769230768</v>
      </c>
      <c r="Q199" s="100">
        <v>5.7299999999999997E-2</v>
      </c>
      <c r="R199" s="100">
        <v>0</v>
      </c>
      <c r="S199" s="55">
        <v>0</v>
      </c>
      <c r="T199" s="55"/>
    </row>
    <row r="200" spans="1:20" ht="13.5" customHeight="1" x14ac:dyDescent="0.2">
      <c r="A200" s="58"/>
      <c r="B200" s="58"/>
      <c r="C200" s="17" t="s">
        <v>98</v>
      </c>
      <c r="D200" s="18">
        <v>48714</v>
      </c>
      <c r="E200" s="62">
        <v>6.6250000000000003E-2</v>
      </c>
      <c r="F200" s="62">
        <v>6.4687499999999995E-2</v>
      </c>
      <c r="G200" s="62">
        <v>6.5432900000000002E-2</v>
      </c>
      <c r="H200" s="62">
        <v>6.7500000000000004E-2</v>
      </c>
      <c r="I200" s="62">
        <v>6.4687499999999995E-2</v>
      </c>
      <c r="J200" s="62">
        <v>6.5143599999999996E-2</v>
      </c>
      <c r="K200" s="62">
        <v>6.5312499999999996E-2</v>
      </c>
      <c r="L200" s="63"/>
      <c r="M200" s="63">
        <v>7234000</v>
      </c>
      <c r="N200" s="63">
        <v>7234000</v>
      </c>
      <c r="O200" s="63">
        <v>3000000</v>
      </c>
      <c r="P200" s="64">
        <f t="shared" si="12"/>
        <v>2.4113333333333333</v>
      </c>
      <c r="Q200" s="100">
        <v>6.5500000000000003E-2</v>
      </c>
      <c r="R200" s="100">
        <v>1.9887751488813776E-3</v>
      </c>
      <c r="S200" s="55">
        <v>29293528.561597757</v>
      </c>
      <c r="T200" s="55"/>
    </row>
    <row r="201" spans="1:20" ht="13.5" customHeight="1" x14ac:dyDescent="0.2">
      <c r="A201" s="112">
        <v>41212</v>
      </c>
      <c r="B201" s="112">
        <v>41214</v>
      </c>
      <c r="C201" s="113" t="s">
        <v>111</v>
      </c>
      <c r="D201" s="114">
        <v>41394</v>
      </c>
      <c r="E201" s="86"/>
      <c r="F201" s="116">
        <v>4.7812500000000001E-2</v>
      </c>
      <c r="G201" s="116"/>
      <c r="H201" s="116">
        <v>5.5E-2</v>
      </c>
      <c r="I201" s="116"/>
      <c r="J201" s="86"/>
      <c r="K201" s="86"/>
      <c r="L201" s="118">
        <v>1000000</v>
      </c>
      <c r="M201" s="118">
        <v>921000</v>
      </c>
      <c r="N201" s="118"/>
      <c r="O201" s="118"/>
      <c r="P201" s="89"/>
      <c r="Q201" s="120"/>
      <c r="R201" s="54"/>
      <c r="S201" s="55">
        <f>O201*J201/$R$10</f>
        <v>0</v>
      </c>
      <c r="T201" s="55"/>
    </row>
    <row r="202" spans="1:20" ht="13.5" customHeight="1" x14ac:dyDescent="0.2">
      <c r="A202" s="81"/>
      <c r="B202" s="81"/>
      <c r="C202" s="83" t="s">
        <v>48</v>
      </c>
      <c r="D202" s="84">
        <v>43146</v>
      </c>
      <c r="E202" s="86">
        <v>4.4499999999999998E-2</v>
      </c>
      <c r="F202" s="86">
        <v>5.9687499999999998E-2</v>
      </c>
      <c r="G202" s="86"/>
      <c r="H202" s="86">
        <v>6.25E-2</v>
      </c>
      <c r="I202" s="86"/>
      <c r="J202" s="86">
        <v>6.0100000000000001E-2</v>
      </c>
      <c r="K202" s="86"/>
      <c r="L202" s="88"/>
      <c r="M202" s="88">
        <v>1286000</v>
      </c>
      <c r="N202" s="88"/>
      <c r="O202" s="88">
        <v>640000</v>
      </c>
      <c r="P202" s="89">
        <f t="shared" si="12"/>
        <v>2.0093749999999999</v>
      </c>
      <c r="Q202" s="90"/>
      <c r="R202" s="54"/>
      <c r="S202" s="55"/>
      <c r="T202" s="55"/>
    </row>
    <row r="203" spans="1:20" ht="13.5" customHeight="1" x14ac:dyDescent="0.2">
      <c r="A203" s="81"/>
      <c r="B203" s="81"/>
      <c r="C203" s="83" t="s">
        <v>49</v>
      </c>
      <c r="D203" s="84">
        <v>44576</v>
      </c>
      <c r="E203" s="86">
        <v>5.45E-2</v>
      </c>
      <c r="F203" s="86">
        <v>6.1249999999999999E-2</v>
      </c>
      <c r="G203" s="86"/>
      <c r="H203" s="86">
        <v>6.7500000000000004E-2</v>
      </c>
      <c r="I203" s="86"/>
      <c r="J203" s="86"/>
      <c r="K203" s="86"/>
      <c r="L203" s="88"/>
      <c r="M203" s="88">
        <v>63000</v>
      </c>
      <c r="N203" s="88"/>
      <c r="O203" s="88"/>
      <c r="P203" s="89"/>
      <c r="Q203" s="90"/>
      <c r="R203" s="54"/>
      <c r="S203" s="55"/>
      <c r="T203" s="55"/>
    </row>
    <row r="204" spans="1:20" ht="13.5" customHeight="1" x14ac:dyDescent="0.2">
      <c r="A204" s="81"/>
      <c r="B204" s="81"/>
      <c r="C204" s="83" t="s">
        <v>50</v>
      </c>
      <c r="D204" s="84">
        <v>46402</v>
      </c>
      <c r="E204" s="86">
        <v>0.06</v>
      </c>
      <c r="F204" s="86">
        <v>6.5937499999999996E-2</v>
      </c>
      <c r="G204" s="86"/>
      <c r="H204" s="86">
        <v>7.0000000000000007E-2</v>
      </c>
      <c r="I204" s="86"/>
      <c r="J204" s="86"/>
      <c r="K204" s="86"/>
      <c r="L204" s="88"/>
      <c r="M204" s="88">
        <v>66000</v>
      </c>
      <c r="N204" s="88"/>
      <c r="O204" s="88"/>
      <c r="P204" s="89"/>
      <c r="Q204" s="90"/>
      <c r="R204" s="54" t="e">
        <f>O204*J204/$O$43</f>
        <v>#DIV/0!</v>
      </c>
      <c r="S204" s="55">
        <f>O204*J204/$R$10</f>
        <v>0</v>
      </c>
      <c r="T204" s="55"/>
    </row>
    <row r="205" spans="1:20" ht="13.5" customHeight="1" x14ac:dyDescent="0.2">
      <c r="A205" s="81"/>
      <c r="B205" s="81"/>
      <c r="C205" s="83" t="s">
        <v>53</v>
      </c>
      <c r="D205" s="84">
        <v>50086</v>
      </c>
      <c r="E205" s="86">
        <v>6.0999999999999999E-2</v>
      </c>
      <c r="F205" s="86">
        <v>6.7187499999999997E-2</v>
      </c>
      <c r="G205" s="86"/>
      <c r="H205" s="86">
        <v>7.4999999999999997E-2</v>
      </c>
      <c r="I205" s="86"/>
      <c r="J205" s="86">
        <v>6.8098500000000006E-2</v>
      </c>
      <c r="K205" s="86"/>
      <c r="L205" s="88"/>
      <c r="M205" s="88">
        <v>317000</v>
      </c>
      <c r="N205" s="88"/>
      <c r="O205" s="88">
        <v>273000</v>
      </c>
      <c r="P205" s="89">
        <f t="shared" ref="P205:P210" si="13">M205/O205</f>
        <v>1.1611721611721613</v>
      </c>
      <c r="Q205" s="90"/>
      <c r="R205" s="54" t="e">
        <f>O205*J205/$O$43</f>
        <v>#DIV/0!</v>
      </c>
      <c r="S205" s="55">
        <f>O205*J205/$R$10</f>
        <v>19050447.496855363</v>
      </c>
      <c r="T205" s="55"/>
    </row>
    <row r="206" spans="1:20" ht="13.5" customHeight="1" x14ac:dyDescent="0.2">
      <c r="A206" s="68">
        <v>41225</v>
      </c>
      <c r="B206" s="68">
        <v>41227</v>
      </c>
      <c r="C206" s="69" t="s">
        <v>112</v>
      </c>
      <c r="D206" s="70">
        <v>41318</v>
      </c>
      <c r="E206" s="72"/>
      <c r="F206" s="72">
        <v>3.6874999999999998E-2</v>
      </c>
      <c r="G206" s="72">
        <v>3.9922800000000001E-2</v>
      </c>
      <c r="H206" s="72">
        <v>4.2812500000000003E-2</v>
      </c>
      <c r="I206" s="72">
        <v>3.6874999999999998E-2</v>
      </c>
      <c r="J206" s="72">
        <v>3.7249999999999998E-2</v>
      </c>
      <c r="K206" s="72">
        <v>3.7812499999999999E-2</v>
      </c>
      <c r="L206" s="74">
        <v>5000000</v>
      </c>
      <c r="M206" s="74">
        <v>4050000</v>
      </c>
      <c r="N206" s="74">
        <v>1800000</v>
      </c>
      <c r="O206" s="74">
        <v>1000000</v>
      </c>
      <c r="P206" s="76">
        <f t="shared" si="13"/>
        <v>4.05</v>
      </c>
      <c r="Q206" s="145">
        <v>3.7999999999999999E-2</v>
      </c>
      <c r="R206" s="54"/>
      <c r="S206" s="55">
        <f>O206*J206/$R$10</f>
        <v>38170800.331369944</v>
      </c>
      <c r="T206" s="55"/>
    </row>
    <row r="207" spans="1:20" ht="13.5" customHeight="1" x14ac:dyDescent="0.2">
      <c r="A207" s="58"/>
      <c r="B207" s="58"/>
      <c r="C207" s="69" t="s">
        <v>113</v>
      </c>
      <c r="D207" s="18">
        <v>41591</v>
      </c>
      <c r="E207" s="62"/>
      <c r="F207" s="62">
        <v>4.5312499999999999E-2</v>
      </c>
      <c r="G207" s="62">
        <v>4.6971600000000002E-2</v>
      </c>
      <c r="H207" s="62">
        <v>0.05</v>
      </c>
      <c r="I207" s="62">
        <v>4.5312499999999999E-2</v>
      </c>
      <c r="J207" s="62">
        <v>4.6112500000000001E-2</v>
      </c>
      <c r="K207" s="62">
        <v>4.65625E-2</v>
      </c>
      <c r="L207" s="63"/>
      <c r="M207" s="63">
        <v>2561000</v>
      </c>
      <c r="N207" s="63">
        <v>1400000</v>
      </c>
      <c r="O207" s="63">
        <v>1000000</v>
      </c>
      <c r="P207" s="64">
        <f t="shared" si="13"/>
        <v>2.5609999999999999</v>
      </c>
      <c r="Q207" s="100">
        <v>4.65E-2</v>
      </c>
      <c r="R207" s="54"/>
      <c r="S207" s="55"/>
      <c r="T207" s="55"/>
    </row>
    <row r="208" spans="1:20" ht="13.5" customHeight="1" x14ac:dyDescent="0.2">
      <c r="A208" s="58"/>
      <c r="B208" s="58"/>
      <c r="C208" s="17" t="s">
        <v>110</v>
      </c>
      <c r="D208" s="18">
        <v>43235</v>
      </c>
      <c r="E208" s="62">
        <v>5.2499999999999998E-2</v>
      </c>
      <c r="F208" s="62">
        <v>5.0625000000000003E-2</v>
      </c>
      <c r="G208" s="62">
        <v>5.2170300000000003E-2</v>
      </c>
      <c r="H208" s="62">
        <v>5.4375E-2</v>
      </c>
      <c r="I208" s="62">
        <v>5.0625000000000003E-2</v>
      </c>
      <c r="J208" s="62">
        <v>5.16205E-2</v>
      </c>
      <c r="K208" s="62">
        <v>5.1874999999999998E-2</v>
      </c>
      <c r="L208" s="63"/>
      <c r="M208" s="63">
        <v>5177000</v>
      </c>
      <c r="N208" s="63">
        <v>4600000</v>
      </c>
      <c r="O208" s="63">
        <v>2500000</v>
      </c>
      <c r="P208" s="64">
        <f t="shared" si="13"/>
        <v>2.0708000000000002</v>
      </c>
      <c r="Q208" s="100">
        <v>5.1999999999999998E-2</v>
      </c>
      <c r="R208" s="54">
        <v>0</v>
      </c>
      <c r="S208" s="55">
        <v>0</v>
      </c>
      <c r="T208" s="55"/>
    </row>
    <row r="209" spans="1:20" ht="13.5" customHeight="1" x14ac:dyDescent="0.2">
      <c r="A209" s="58"/>
      <c r="B209" s="58"/>
      <c r="C209" s="17" t="s">
        <v>95</v>
      </c>
      <c r="D209" s="18">
        <v>46888</v>
      </c>
      <c r="E209" s="62">
        <v>6.1249999999999999E-2</v>
      </c>
      <c r="F209" s="62">
        <v>5.9687499999999998E-2</v>
      </c>
      <c r="G209" s="62">
        <v>6.0501899999999997E-2</v>
      </c>
      <c r="H209" s="62">
        <v>6.3750000000000001E-2</v>
      </c>
      <c r="I209" s="62">
        <v>5.9687499999999998E-2</v>
      </c>
      <c r="J209" s="62">
        <v>5.9989399999999998E-2</v>
      </c>
      <c r="K209" s="62">
        <v>0.06</v>
      </c>
      <c r="L209" s="63"/>
      <c r="M209" s="63">
        <v>9340000</v>
      </c>
      <c r="N209" s="63">
        <v>9300000</v>
      </c>
      <c r="O209" s="63">
        <v>1850000</v>
      </c>
      <c r="P209" s="64">
        <f t="shared" si="13"/>
        <v>5.0486486486486486</v>
      </c>
      <c r="Q209" s="100">
        <v>6.0499999999999998E-2</v>
      </c>
      <c r="R209" s="54">
        <v>0</v>
      </c>
      <c r="S209" s="55">
        <v>0</v>
      </c>
      <c r="T209" s="55"/>
    </row>
    <row r="210" spans="1:20" ht="13.5" customHeight="1" x14ac:dyDescent="0.2">
      <c r="A210" s="151"/>
      <c r="B210" s="151"/>
      <c r="C210" s="146" t="s">
        <v>98</v>
      </c>
      <c r="D210" s="147">
        <v>48714</v>
      </c>
      <c r="E210" s="148">
        <v>6.6250000000000003E-2</v>
      </c>
      <c r="F210" s="148">
        <v>6.2812499999999993E-2</v>
      </c>
      <c r="G210" s="148">
        <v>6.3654799999999997E-2</v>
      </c>
      <c r="H210" s="148">
        <v>6.4375000000000002E-2</v>
      </c>
      <c r="I210" s="148">
        <v>6.2812499999999993E-2</v>
      </c>
      <c r="J210" s="148">
        <v>6.3262200000000005E-2</v>
      </c>
      <c r="K210" s="148">
        <v>6.3437499999999994E-2</v>
      </c>
      <c r="L210" s="149"/>
      <c r="M210" s="149">
        <v>7812000</v>
      </c>
      <c r="N210" s="149">
        <v>7150000</v>
      </c>
      <c r="O210" s="149">
        <v>1150000</v>
      </c>
      <c r="P210" s="64">
        <f t="shared" si="13"/>
        <v>6.79304347826087</v>
      </c>
      <c r="Q210" s="150">
        <v>6.3600000000000004E-2</v>
      </c>
      <c r="R210" s="54">
        <v>1.9887751488813776E-3</v>
      </c>
      <c r="S210" s="55">
        <v>29293528.561597757</v>
      </c>
      <c r="T210" s="55"/>
    </row>
    <row r="211" spans="1:20" ht="13.5" customHeight="1" x14ac:dyDescent="0.2">
      <c r="A211" s="112">
        <v>41219</v>
      </c>
      <c r="B211" s="112">
        <v>41235</v>
      </c>
      <c r="C211" s="83" t="s">
        <v>114</v>
      </c>
      <c r="D211" s="84">
        <v>44887</v>
      </c>
      <c r="E211" s="86">
        <v>1.1299999999999999E-2</v>
      </c>
      <c r="F211" s="86"/>
      <c r="G211" s="86"/>
      <c r="H211" s="86"/>
      <c r="I211" s="86"/>
      <c r="J211" s="86"/>
      <c r="K211" s="86"/>
      <c r="L211" s="88">
        <v>7000000</v>
      </c>
      <c r="M211" s="153" t="s">
        <v>115</v>
      </c>
      <c r="N211" s="153" t="s">
        <v>115</v>
      </c>
      <c r="O211" s="153" t="s">
        <v>115</v>
      </c>
      <c r="P211" s="89"/>
      <c r="Q211" s="90">
        <v>4.5999999999999999E-2</v>
      </c>
      <c r="R211" s="54"/>
      <c r="S211" s="55"/>
      <c r="T211" s="55">
        <v>60000</v>
      </c>
    </row>
    <row r="212" spans="1:20" ht="13.5" customHeight="1" x14ac:dyDescent="0.2">
      <c r="A212" s="81"/>
      <c r="B212" s="91"/>
      <c r="C212" s="83"/>
      <c r="D212" s="84"/>
      <c r="E212" s="86"/>
      <c r="F212" s="86"/>
      <c r="G212" s="86"/>
      <c r="H212" s="86"/>
      <c r="I212" s="86"/>
      <c r="J212" s="86"/>
      <c r="K212" s="86"/>
      <c r="L212" s="88"/>
      <c r="M212" s="88">
        <f>$T$211*$T$212</f>
        <v>7012308</v>
      </c>
      <c r="N212" s="88">
        <f>$T$211*$T$212</f>
        <v>7012308</v>
      </c>
      <c r="O212" s="88">
        <f>$T$211*$T$212</f>
        <v>7012308</v>
      </c>
      <c r="P212" s="89"/>
      <c r="Q212" s="90"/>
      <c r="R212" s="54"/>
      <c r="S212" s="55"/>
      <c r="T212" s="55">
        <v>116.87179999999999</v>
      </c>
    </row>
    <row r="213" spans="1:20" ht="13.5" customHeight="1" x14ac:dyDescent="0.2">
      <c r="A213" s="68">
        <v>41227</v>
      </c>
      <c r="B213" s="68">
        <v>41234</v>
      </c>
      <c r="C213" s="17" t="s">
        <v>116</v>
      </c>
      <c r="D213" s="18">
        <v>44886</v>
      </c>
      <c r="E213" s="62">
        <v>3.3000000000000002E-2</v>
      </c>
      <c r="F213" s="62"/>
      <c r="G213" s="62"/>
      <c r="H213" s="62"/>
      <c r="I213" s="62"/>
      <c r="J213" s="62"/>
      <c r="K213" s="62"/>
      <c r="L213" s="63">
        <v>9000000</v>
      </c>
      <c r="M213" s="140" t="s">
        <v>117</v>
      </c>
      <c r="N213" s="140" t="s">
        <v>117</v>
      </c>
      <c r="O213" s="140" t="s">
        <v>117</v>
      </c>
      <c r="P213" s="64"/>
      <c r="Q213" s="100">
        <v>4.5999999999999999E-2</v>
      </c>
      <c r="R213" s="100"/>
      <c r="S213" s="55"/>
      <c r="T213" s="55">
        <v>1000</v>
      </c>
    </row>
    <row r="214" spans="1:20" ht="13.5" customHeight="1" x14ac:dyDescent="0.2">
      <c r="A214" s="58"/>
      <c r="B214" s="80"/>
      <c r="C214" s="17"/>
      <c r="D214" s="18"/>
      <c r="E214" s="62"/>
      <c r="F214" s="62"/>
      <c r="G214" s="62"/>
      <c r="H214" s="62"/>
      <c r="I214" s="62"/>
      <c r="J214" s="62"/>
      <c r="K214" s="62"/>
      <c r="L214" s="63"/>
      <c r="M214" s="63">
        <f>$T$213*$T$214</f>
        <v>9639000</v>
      </c>
      <c r="N214" s="63">
        <f>$T$213*$T$214</f>
        <v>9639000</v>
      </c>
      <c r="O214" s="63">
        <f>$T$213*$T$214</f>
        <v>9639000</v>
      </c>
      <c r="P214" s="64"/>
      <c r="Q214" s="100"/>
      <c r="R214" s="100"/>
      <c r="S214" s="55"/>
      <c r="T214" s="55">
        <v>9639</v>
      </c>
    </row>
    <row r="215" spans="1:20" ht="13.5" customHeight="1" x14ac:dyDescent="0.2">
      <c r="A215" s="112">
        <v>41246</v>
      </c>
      <c r="B215" s="112">
        <v>41248</v>
      </c>
      <c r="C215" s="83" t="s">
        <v>118</v>
      </c>
      <c r="D215" s="84">
        <v>41337</v>
      </c>
      <c r="E215" s="86"/>
      <c r="F215" s="86">
        <v>1.90625E-2</v>
      </c>
      <c r="G215" s="86">
        <v>3.3067300000000001E-2</v>
      </c>
      <c r="H215" s="86">
        <v>0.05</v>
      </c>
      <c r="I215" s="86">
        <v>1.90625E-2</v>
      </c>
      <c r="J215" s="86">
        <v>1.9508899999999999E-2</v>
      </c>
      <c r="K215" s="86">
        <v>0.02</v>
      </c>
      <c r="L215" s="88">
        <v>1000000</v>
      </c>
      <c r="M215" s="153">
        <v>5236000</v>
      </c>
      <c r="N215" s="153">
        <v>5236000</v>
      </c>
      <c r="O215" s="153">
        <v>700000</v>
      </c>
      <c r="P215" s="89">
        <f>M215/O215</f>
        <v>7.48</v>
      </c>
      <c r="Q215" s="90">
        <v>3.5000000000000003E-2</v>
      </c>
      <c r="R215" s="54"/>
      <c r="S215" s="55">
        <f>O215*J215/$R$10</f>
        <v>13993804.794879572</v>
      </c>
      <c r="T215" s="55"/>
    </row>
    <row r="216" spans="1:20" ht="13.5" customHeight="1" x14ac:dyDescent="0.2">
      <c r="A216" s="81"/>
      <c r="B216" s="91"/>
      <c r="C216" s="83" t="s">
        <v>119</v>
      </c>
      <c r="D216" s="84">
        <v>41612</v>
      </c>
      <c r="E216" s="86"/>
      <c r="F216" s="86">
        <v>4.2187500000000003E-2</v>
      </c>
      <c r="G216" s="86">
        <v>4.54952E-2</v>
      </c>
      <c r="H216" s="86">
        <v>7.0000000000000007E-2</v>
      </c>
      <c r="I216" s="86">
        <v>4.2187500000000003E-2</v>
      </c>
      <c r="J216" s="86">
        <v>4.2187500000000003E-2</v>
      </c>
      <c r="K216" s="86">
        <v>4.2187500000000003E-2</v>
      </c>
      <c r="L216" s="88"/>
      <c r="M216" s="88">
        <v>3917000</v>
      </c>
      <c r="N216" s="88">
        <v>1300000</v>
      </c>
      <c r="O216" s="88">
        <v>500000</v>
      </c>
      <c r="P216" s="89">
        <f>M216/O216</f>
        <v>7.8339999999999996</v>
      </c>
      <c r="Q216" s="90">
        <v>4.41E-2</v>
      </c>
      <c r="R216" s="54"/>
      <c r="S216" s="55"/>
      <c r="T216" s="55"/>
    </row>
    <row r="217" spans="1:20" ht="13.5" customHeight="1" x14ac:dyDescent="0.2">
      <c r="A217" s="29" t="s">
        <v>17</v>
      </c>
      <c r="B217" s="30"/>
      <c r="C217" s="31"/>
      <c r="D217" s="32" t="s">
        <v>18</v>
      </c>
      <c r="E217" s="33"/>
      <c r="F217" s="33"/>
      <c r="G217" s="33"/>
      <c r="H217" s="33"/>
      <c r="I217" s="33"/>
      <c r="J217" s="34"/>
      <c r="K217" s="34"/>
      <c r="L217" s="35">
        <f>SUM(L6:L216)</f>
        <v>241130000</v>
      </c>
      <c r="M217" s="35">
        <f>SUM(M6:M216)</f>
        <v>650421058</v>
      </c>
      <c r="N217" s="35">
        <f>SUM(N6:N216)</f>
        <v>342523758</v>
      </c>
      <c r="O217" s="35">
        <f>SUM(O6:O216)</f>
        <v>268547858</v>
      </c>
      <c r="P217" s="36">
        <f>M217/O217</f>
        <v>2.4219930959196105</v>
      </c>
      <c r="Q217" s="37"/>
      <c r="R217" s="79">
        <f>SUM(R6:R12)</f>
        <v>1.6493557546826533E-3</v>
      </c>
    </row>
    <row r="218" spans="1:20" x14ac:dyDescent="0.2">
      <c r="M218" s="38">
        <f>M217</f>
        <v>650421058</v>
      </c>
      <c r="N218" s="38">
        <f>N217</f>
        <v>342523758</v>
      </c>
      <c r="O218" s="38">
        <f>O217</f>
        <v>268547858</v>
      </c>
      <c r="R218" s="56"/>
    </row>
    <row r="219" spans="1:20" x14ac:dyDescent="0.2">
      <c r="A219" s="1" t="s">
        <v>31</v>
      </c>
      <c r="R219" s="38"/>
    </row>
    <row r="220" spans="1:20" x14ac:dyDescent="0.2">
      <c r="A220" s="1"/>
      <c r="M220" s="38"/>
      <c r="N220" s="38"/>
      <c r="O220" s="38"/>
      <c r="Q220" s="35"/>
    </row>
    <row r="221" spans="1:20" ht="27" customHeight="1" x14ac:dyDescent="0.2">
      <c r="A221" s="57"/>
      <c r="E221" s="38"/>
      <c r="F221" s="38"/>
      <c r="G221" s="38"/>
      <c r="H221" s="38"/>
      <c r="I221" s="38"/>
      <c r="L221" s="39" t="s">
        <v>19</v>
      </c>
      <c r="M221" s="39" t="s">
        <v>12</v>
      </c>
      <c r="N221" s="39" t="s">
        <v>13</v>
      </c>
      <c r="O221" s="39" t="s">
        <v>14</v>
      </c>
      <c r="Q221" s="35"/>
    </row>
    <row r="222" spans="1:20" x14ac:dyDescent="0.2">
      <c r="E222" s="38"/>
      <c r="F222" s="38"/>
      <c r="G222" s="38"/>
      <c r="H222" s="38"/>
      <c r="I222" s="38"/>
      <c r="L222" s="45" t="s">
        <v>20</v>
      </c>
      <c r="M222" s="40">
        <f>SUM(M8:M10,M15:M17,M24:M26,M34:M36,M43:M45,M54:M56,M65:M67,M75:M77,M89:M91,M100:M102,M109:M111,M119:M121,M129:M131,M139:M141,M154:M156,M158:M161,M169:M171,M178:M180,M188:M190,M198:M200,M208:M210)</f>
        <v>298268400</v>
      </c>
      <c r="N222" s="40">
        <f>SUM(N8:N10,N15:N17,N24:N26,N34:N36,N43:N45,N54:N56,N65:N67,N75:N77,N89:N91,N100:N102,N109:N111,N119:N121,N129:N131,N139:N141,N154:N156,N158:N161,N169:N171,N178:N180,N188:N190,N198:N200,N208:N210)</f>
        <v>170290600</v>
      </c>
      <c r="O222" s="40">
        <f>SUM(O8:O10,O15:O17,O24:O26,O34:O36,O43:O45,O54:O56,O65:O67,O75:O77,O89:O91,O100:O102,O109:O111,O119:O121,O129:O131,O139:O141,O154:O156,O158:O161,O169:O171,O178:O180,O188:O190,O198:O200,O208:O210)</f>
        <v>122245000</v>
      </c>
      <c r="P222" s="41"/>
      <c r="Q222" s="94"/>
    </row>
    <row r="223" spans="1:20" x14ac:dyDescent="0.2">
      <c r="B223" s="38"/>
      <c r="C223" s="2" t="s">
        <v>18</v>
      </c>
      <c r="E223" s="38"/>
      <c r="F223" s="38"/>
      <c r="G223" s="38"/>
      <c r="H223" s="38"/>
      <c r="I223" s="38"/>
      <c r="L223" s="46" t="s">
        <v>21</v>
      </c>
      <c r="M223" s="47"/>
      <c r="N223" s="47"/>
      <c r="O223" s="47"/>
      <c r="S223" s="38"/>
    </row>
    <row r="224" spans="1:20" x14ac:dyDescent="0.2">
      <c r="B224" s="38"/>
      <c r="E224" s="38"/>
      <c r="F224" s="38"/>
      <c r="G224" s="38"/>
      <c r="H224" s="38"/>
      <c r="I224" s="38"/>
      <c r="L224" s="45" t="s">
        <v>22</v>
      </c>
      <c r="M224" s="40">
        <f>M191</f>
        <v>12765145</v>
      </c>
      <c r="N224" s="40">
        <f>N191</f>
        <v>12676745</v>
      </c>
      <c r="O224" s="40">
        <f>O191</f>
        <v>12676745</v>
      </c>
    </row>
    <row r="225" spans="1:20" x14ac:dyDescent="0.2">
      <c r="B225" s="38"/>
      <c r="E225" s="38"/>
      <c r="F225" s="38"/>
      <c r="G225" s="38"/>
      <c r="H225" s="38"/>
      <c r="I225" s="38"/>
      <c r="L225" s="46" t="s">
        <v>23</v>
      </c>
      <c r="M225" s="47">
        <f>SUM(M6:M7,M13:M14,M22:M23,M32:M33,M41:M42,M52:M53,M64,M73:M74,M88,M98:M99,M108,M117:M118,M128,M137:M138,M152:M153,M157,M167:M168,M177,M186:M187,M197,M206:M207,M215:M216)</f>
        <v>132318900</v>
      </c>
      <c r="N225" s="47">
        <f>SUM(N6:N7,N13:N14,N22:N23,N32:N33,N41:N42,N52:N53,N64,N73:N74,N88,N98:N99,N108,N117:N118,N128,N137:N138,N152:N153,N157,N167:N168,N177,N186:N187,N197,N206:N207,N215:N216)</f>
        <v>65992300</v>
      </c>
      <c r="O225" s="47">
        <f>SUM(O6:O7,O13:O14,O22:O23,O32:O33,O41:O42,O52:O53,O64,O73:O74,O88,O98:O99,O108,O117:O118,O128,O137:O138,O152:O153,O157,O167:O168,O177,O186:O187,O197,O206:O207,O215:O216)</f>
        <v>30520000</v>
      </c>
    </row>
    <row r="226" spans="1:20" x14ac:dyDescent="0.2">
      <c r="B226" s="38"/>
      <c r="E226" s="38"/>
      <c r="F226" s="38"/>
      <c r="G226" s="38"/>
      <c r="H226" s="38"/>
      <c r="I226" s="38"/>
      <c r="L226" s="45" t="s">
        <v>24</v>
      </c>
      <c r="M226" s="40">
        <f>M12+M79+M81</f>
        <v>105577000</v>
      </c>
      <c r="N226" s="40">
        <f>N12+N79+N81</f>
        <v>39005000</v>
      </c>
      <c r="O226" s="40">
        <f>O12+O79+O81</f>
        <v>39005000</v>
      </c>
    </row>
    <row r="227" spans="1:20" ht="20.25" x14ac:dyDescent="0.3">
      <c r="B227" s="38"/>
      <c r="E227" s="38"/>
      <c r="F227" s="38"/>
      <c r="G227" s="38"/>
      <c r="H227" s="38"/>
      <c r="I227" s="38"/>
      <c r="L227" s="46" t="s">
        <v>25</v>
      </c>
      <c r="M227" s="47">
        <f>M212</f>
        <v>7012308</v>
      </c>
      <c r="N227" s="47">
        <f>N212</f>
        <v>7012308</v>
      </c>
      <c r="O227" s="47">
        <f>O212</f>
        <v>7012308</v>
      </c>
      <c r="P227" s="142"/>
    </row>
    <row r="228" spans="1:20" x14ac:dyDescent="0.2">
      <c r="E228" s="38"/>
      <c r="F228" s="38"/>
      <c r="G228" s="38"/>
      <c r="H228" s="38"/>
      <c r="I228" s="38"/>
      <c r="L228" s="45" t="s">
        <v>26</v>
      </c>
      <c r="M228" s="40">
        <f>M214</f>
        <v>9639000</v>
      </c>
      <c r="N228" s="40">
        <f>N214</f>
        <v>9639000</v>
      </c>
      <c r="O228" s="40">
        <f>O214</f>
        <v>9639000</v>
      </c>
      <c r="T228" s="2" t="s">
        <v>18</v>
      </c>
    </row>
    <row r="229" spans="1:20" x14ac:dyDescent="0.2">
      <c r="A229" s="38"/>
      <c r="L229" s="46" t="s">
        <v>30</v>
      </c>
      <c r="M229" s="47">
        <f>M51</f>
        <v>13613805</v>
      </c>
      <c r="N229" s="47">
        <f>N51</f>
        <v>13613805</v>
      </c>
      <c r="O229" s="47">
        <f>O51</f>
        <v>13613805</v>
      </c>
    </row>
    <row r="230" spans="1:20" x14ac:dyDescent="0.2">
      <c r="L230" s="45" t="s">
        <v>29</v>
      </c>
      <c r="M230" s="40">
        <f>SUM(M21)</f>
        <v>1676000</v>
      </c>
      <c r="N230" s="40">
        <f>SUM(N21)</f>
        <v>400000</v>
      </c>
      <c r="O230" s="40">
        <f>SUM(O21)</f>
        <v>400000</v>
      </c>
    </row>
    <row r="231" spans="1:20" x14ac:dyDescent="0.2">
      <c r="L231" s="45" t="s">
        <v>36</v>
      </c>
      <c r="M231" s="40">
        <f>SUM(M18:M20,M28:M31,M37:M40,M47:M50,M60:M63,M69:M72,M82:M85,M93:M96,M103:M106,M113:M116,M122:M125,M133:M136,M143:M146,M148:M151,M163:M166,M173:M176,M182:M185,M193:M196,M202:M205)</f>
        <v>41396500</v>
      </c>
      <c r="N231" s="40">
        <f>SUM(N18:N20,N28:N31,N37:N40,N47:N50,N60:N63,N69:N72,N82:N85,N93:N96,N103:N106,N113:N116,N122:N125,N133:N136,N143:N146,N148:N151,N163:N166,N173:N176,N182:N185,N193:N196,N202:N205)</f>
        <v>7367000</v>
      </c>
      <c r="O231" s="40">
        <f>SUM(O18:O20,O28:O31,O37:O40,O47:O50,O60:O63,O69:O72,O82:O85,O93:O96,O103:O106,O113:O116,O122:O125,O133:O136,O143:O146,O148:O151,O163:O166,O173:O176,O182:O185,O193:O196,O202:O205)</f>
        <v>16714000</v>
      </c>
    </row>
    <row r="232" spans="1:20" x14ac:dyDescent="0.2">
      <c r="L232" s="45" t="s">
        <v>33</v>
      </c>
      <c r="M232" s="40">
        <f>SUM(M27,M46,M68,M92,M97,M112,M132,M142,M147,M162,M172,M181,M192,M201)</f>
        <v>12812000</v>
      </c>
      <c r="N232" s="40">
        <f>SUM(N27,N46,N68,N92,N97,N112,N132,N142,N147,N162,N172,N181,N192,N201)</f>
        <v>1185000</v>
      </c>
      <c r="O232" s="40">
        <f>SUM(O27,O46,O68,O92,O97,O112,O132,O142,O147,O162,O172,O181,O192,O201)</f>
        <v>1380000</v>
      </c>
    </row>
    <row r="233" spans="1:20" x14ac:dyDescent="0.2">
      <c r="L233" s="49" t="s">
        <v>17</v>
      </c>
      <c r="M233" s="50">
        <f>SUM(M222:M232)</f>
        <v>635079058</v>
      </c>
      <c r="N233" s="50">
        <f>SUM(N222:N232)</f>
        <v>327181758</v>
      </c>
      <c r="O233" s="50">
        <f>SUM(O222:O232)</f>
        <v>253205858</v>
      </c>
    </row>
    <row r="234" spans="1:20" x14ac:dyDescent="0.2">
      <c r="L234" s="46" t="s">
        <v>27</v>
      </c>
      <c r="M234" s="47">
        <f>SUM(M57:M59,M86:M87,M107,M126:M127)</f>
        <v>15342000</v>
      </c>
      <c r="N234" s="47">
        <f>SUM(N57:N59,N86:N87,N107,N126:N127)</f>
        <v>15342000</v>
      </c>
      <c r="O234" s="47">
        <f>SUM(O57:O59,O86:O87,O107,O126:O127)</f>
        <v>15342000</v>
      </c>
    </row>
    <row r="235" spans="1:20" x14ac:dyDescent="0.2">
      <c r="L235" s="42" t="s">
        <v>28</v>
      </c>
      <c r="M235" s="43">
        <f>M233+M234</f>
        <v>650421058</v>
      </c>
      <c r="N235" s="43">
        <f>N233+N234</f>
        <v>342523758</v>
      </c>
      <c r="O235" s="43">
        <f>O233+O234</f>
        <v>268547858</v>
      </c>
    </row>
    <row r="236" spans="1:20" x14ac:dyDescent="0.2">
      <c r="M236" s="1" t="b">
        <f>IF(M217=M235,TRUE,FALSE)</f>
        <v>1</v>
      </c>
      <c r="N236" s="1" t="b">
        <f>IF(N217=N235,TRUE,FALSE)</f>
        <v>1</v>
      </c>
      <c r="O236" s="1" t="b">
        <f>IF(O217=O235,TRUE,FALSE)</f>
        <v>1</v>
      </c>
    </row>
    <row r="238" spans="1:20" x14ac:dyDescent="0.2">
      <c r="M238" s="38"/>
      <c r="N238" s="38"/>
      <c r="O238" s="38"/>
    </row>
    <row r="239" spans="1:20" x14ac:dyDescent="0.2">
      <c r="O239" s="38"/>
    </row>
    <row r="240" spans="1:20" x14ac:dyDescent="0.2">
      <c r="O240" s="78"/>
    </row>
    <row r="241" spans="12:16" x14ac:dyDescent="0.2">
      <c r="M241" s="38"/>
      <c r="N241" s="38"/>
      <c r="O241" s="78"/>
    </row>
    <row r="242" spans="12:16" x14ac:dyDescent="0.2">
      <c r="O242" s="78"/>
    </row>
    <row r="247" spans="12:16" x14ac:dyDescent="0.2">
      <c r="N247" s="105" t="s">
        <v>76</v>
      </c>
      <c r="O247" s="105"/>
      <c r="P247" s="106">
        <v>270419408</v>
      </c>
    </row>
    <row r="248" spans="12:16" x14ac:dyDescent="0.2">
      <c r="N248" s="105" t="s">
        <v>77</v>
      </c>
      <c r="O248" s="105"/>
      <c r="P248" s="47">
        <f>P247-O217</f>
        <v>1871550</v>
      </c>
    </row>
    <row r="249" spans="12:16" x14ac:dyDescent="0.2">
      <c r="L249" s="2">
        <f>223+48</f>
        <v>271</v>
      </c>
      <c r="N249" s="105" t="s">
        <v>72</v>
      </c>
      <c r="O249" s="105"/>
      <c r="P249" s="107">
        <f>O217/P247</f>
        <v>0.99307908402787426</v>
      </c>
    </row>
    <row r="250" spans="12:16" x14ac:dyDescent="0.2">
      <c r="N250" s="396" t="s">
        <v>73</v>
      </c>
      <c r="O250" s="397"/>
      <c r="P250" s="108">
        <f>100%-P249</f>
        <v>6.9209159721257407E-3</v>
      </c>
    </row>
    <row r="259" spans="15:15" x14ac:dyDescent="0.2">
      <c r="O259" s="28"/>
    </row>
  </sheetData>
  <mergeCells count="3">
    <mergeCell ref="A78:A81"/>
    <mergeCell ref="B78:B81"/>
    <mergeCell ref="N250:O250"/>
  </mergeCells>
  <printOptions horizontalCentered="1"/>
  <pageMargins left="0" right="0" top="0.27" bottom="0.3" header="0.17" footer="0.19"/>
  <pageSetup paperSize="9" scale="53" orientation="landscape" r:id="rId1"/>
  <headerFooter alignWithMargins="0">
    <oddFooter>Page &amp;P of &amp;N</oddFooter>
  </headerFooter>
  <rowBreaks count="3" manualBreakCount="3">
    <brk id="72" max="16" man="1"/>
    <brk id="146" max="16" man="1"/>
    <brk id="21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458"/>
  <sheetViews>
    <sheetView showGridLines="0" tabSelected="1" zoomScale="110" zoomScaleNormal="110" zoomScaleSheetLayoutView="115" workbookViewId="0">
      <pane xSplit="4" ySplit="3" topLeftCell="E448" activePane="bottomRight" state="frozen"/>
      <selection pane="topRight" activeCell="D1" sqref="D1"/>
      <selection pane="bottomLeft" activeCell="A4" sqref="A4"/>
      <selection pane="bottomRight" activeCell="L463" sqref="L463"/>
    </sheetView>
  </sheetViews>
  <sheetFormatPr defaultColWidth="9.28515625" defaultRowHeight="11.25" outlineLevelRow="1" x14ac:dyDescent="0.2"/>
  <cols>
    <col min="1" max="1" width="9.28515625" style="157" customWidth="1"/>
    <col min="2" max="2" width="12.28515625" style="157" customWidth="1"/>
    <col min="3" max="3" width="16.28515625" style="157" bestFit="1" customWidth="1"/>
    <col min="4" max="4" width="13.42578125" style="2" bestFit="1" customWidth="1"/>
    <col min="5" max="5" width="13.28515625" style="157" bestFit="1" customWidth="1"/>
    <col min="6" max="6" width="12" style="159" customWidth="1"/>
    <col min="7" max="8" width="10.7109375" style="157" customWidth="1"/>
    <col min="9" max="9" width="12.28515625" style="157" customWidth="1"/>
    <col min="10" max="10" width="11.28515625" style="157" bestFit="1" customWidth="1"/>
    <col min="11" max="11" width="16.7109375" style="157" bestFit="1" customWidth="1"/>
    <col min="12" max="12" width="15.7109375" style="157" bestFit="1" customWidth="1"/>
    <col min="13" max="13" width="8" style="157" bestFit="1" customWidth="1"/>
    <col min="14" max="16384" width="9.28515625" style="2"/>
  </cols>
  <sheetData>
    <row r="1" spans="1:15" ht="24.75" customHeight="1" x14ac:dyDescent="0.2">
      <c r="A1" s="175" t="s">
        <v>179</v>
      </c>
      <c r="B1" s="155"/>
      <c r="C1" s="155"/>
    </row>
    <row r="2" spans="1:15" x14ac:dyDescent="0.2">
      <c r="L2" s="423" t="s">
        <v>129</v>
      </c>
      <c r="M2" s="423"/>
    </row>
    <row r="3" spans="1:15" ht="45" x14ac:dyDescent="0.2">
      <c r="A3" s="161" t="s">
        <v>122</v>
      </c>
      <c r="B3" s="161" t="s">
        <v>134</v>
      </c>
      <c r="C3" s="161" t="s">
        <v>123</v>
      </c>
      <c r="D3" s="161" t="s">
        <v>124</v>
      </c>
      <c r="E3" s="161" t="s">
        <v>125</v>
      </c>
      <c r="F3" s="162" t="s">
        <v>126</v>
      </c>
      <c r="G3" s="161" t="s">
        <v>5</v>
      </c>
      <c r="H3" s="161" t="s">
        <v>7</v>
      </c>
      <c r="I3" s="163" t="s">
        <v>120</v>
      </c>
      <c r="J3" s="161" t="s">
        <v>10</v>
      </c>
      <c r="K3" s="161" t="s">
        <v>127</v>
      </c>
      <c r="L3" s="161" t="s">
        <v>135</v>
      </c>
      <c r="M3" s="161" t="s">
        <v>15</v>
      </c>
    </row>
    <row r="4" spans="1:15" s="187" customFormat="1" ht="17.25" customHeight="1" outlineLevel="1" x14ac:dyDescent="0.2">
      <c r="A4" s="271">
        <v>44921</v>
      </c>
      <c r="B4" s="271">
        <v>44928</v>
      </c>
      <c r="C4" s="272" t="s">
        <v>138</v>
      </c>
      <c r="D4" s="273" t="s">
        <v>98</v>
      </c>
      <c r="E4" s="274">
        <v>48714</v>
      </c>
      <c r="F4" s="275">
        <v>6.6250000000000003E-2</v>
      </c>
      <c r="G4" s="276" t="s">
        <v>130</v>
      </c>
      <c r="H4" s="276" t="s">
        <v>130</v>
      </c>
      <c r="I4" s="277">
        <v>6.9400000000000003E-2</v>
      </c>
      <c r="J4" s="276" t="s">
        <v>130</v>
      </c>
      <c r="K4" s="278">
        <v>1000000</v>
      </c>
      <c r="L4" s="278">
        <f t="shared" ref="L4" si="0">K4</f>
        <v>1000000</v>
      </c>
      <c r="M4" s="279">
        <f t="shared" ref="M4" si="1">IF(L4=0,0,K4/L4)</f>
        <v>1</v>
      </c>
      <c r="O4" s="189"/>
    </row>
    <row r="5" spans="1:15" s="187" customFormat="1" ht="13.5" customHeight="1" outlineLevel="1" x14ac:dyDescent="0.2">
      <c r="A5" s="427" t="s">
        <v>121</v>
      </c>
      <c r="B5" s="428"/>
      <c r="C5" s="428"/>
      <c r="D5" s="428"/>
      <c r="E5" s="428"/>
      <c r="F5" s="428"/>
      <c r="G5" s="428"/>
      <c r="H5" s="428"/>
      <c r="I5" s="428"/>
      <c r="J5" s="429"/>
      <c r="K5" s="280">
        <f>SUM(K4:K4)</f>
        <v>1000000</v>
      </c>
      <c r="L5" s="280">
        <f>SUM(L4:L4)</f>
        <v>1000000</v>
      </c>
      <c r="M5" s="280"/>
    </row>
    <row r="6" spans="1:15" ht="12.75" customHeight="1" outlineLevel="1" x14ac:dyDescent="0.2">
      <c r="A6" s="281">
        <v>44929</v>
      </c>
      <c r="B6" s="281">
        <v>44931</v>
      </c>
      <c r="C6" s="282" t="s">
        <v>136</v>
      </c>
      <c r="D6" s="283" t="s">
        <v>144</v>
      </c>
      <c r="E6" s="284">
        <v>45021</v>
      </c>
      <c r="F6" s="285" t="s">
        <v>128</v>
      </c>
      <c r="G6" s="285">
        <v>4.4900000000000002E-2</v>
      </c>
      <c r="H6" s="285">
        <v>5.1999999999999998E-2</v>
      </c>
      <c r="I6" s="286">
        <v>4.4900000000000002E-2</v>
      </c>
      <c r="J6" s="286">
        <v>4.4900000000000002E-2</v>
      </c>
      <c r="K6" s="287">
        <v>4370000</v>
      </c>
      <c r="L6" s="288">
        <v>1000000</v>
      </c>
      <c r="M6" s="289">
        <f>IF(L6=0,0,K6/L6)</f>
        <v>4.37</v>
      </c>
    </row>
    <row r="7" spans="1:15" ht="12.75" customHeight="1" outlineLevel="1" x14ac:dyDescent="0.2">
      <c r="A7" s="281"/>
      <c r="B7" s="284"/>
      <c r="C7" s="282"/>
      <c r="D7" s="283" t="s">
        <v>145</v>
      </c>
      <c r="E7" s="284">
        <v>45295</v>
      </c>
      <c r="F7" s="285" t="s">
        <v>128</v>
      </c>
      <c r="G7" s="285">
        <v>5.3400000000000003E-2</v>
      </c>
      <c r="H7" s="285">
        <v>5.5800000000000002E-2</v>
      </c>
      <c r="I7" s="285">
        <v>5.43808E-2</v>
      </c>
      <c r="J7" s="286">
        <v>5.4800000000000001E-2</v>
      </c>
      <c r="K7" s="287">
        <v>3050000</v>
      </c>
      <c r="L7" s="288">
        <v>2500000</v>
      </c>
      <c r="M7" s="290">
        <f t="shared" ref="M7:M12" si="2">IF(L7=0,0,K7/L7)</f>
        <v>1.22</v>
      </c>
    </row>
    <row r="8" spans="1:15" ht="12.75" customHeight="1" outlineLevel="1" x14ac:dyDescent="0.2">
      <c r="A8" s="291"/>
      <c r="B8" s="291"/>
      <c r="C8" s="291"/>
      <c r="D8" s="283" t="s">
        <v>139</v>
      </c>
      <c r="E8" s="284">
        <v>46980</v>
      </c>
      <c r="F8" s="285">
        <v>6.3750000000000001E-2</v>
      </c>
      <c r="G8" s="285">
        <v>6.5600000000000006E-2</v>
      </c>
      <c r="H8" s="285">
        <v>6.7900000000000002E-2</v>
      </c>
      <c r="I8" s="286">
        <v>6.6197099999999995E-2</v>
      </c>
      <c r="J8" s="286">
        <v>6.6500000000000004E-2</v>
      </c>
      <c r="K8" s="287">
        <v>6494400</v>
      </c>
      <c r="L8" s="288">
        <v>3650000</v>
      </c>
      <c r="M8" s="290">
        <f t="shared" si="2"/>
        <v>1.7792876712328767</v>
      </c>
    </row>
    <row r="9" spans="1:15" ht="12.75" customHeight="1" outlineLevel="1" x14ac:dyDescent="0.2">
      <c r="A9" s="291"/>
      <c r="B9" s="291"/>
      <c r="C9" s="291"/>
      <c r="D9" s="283" t="s">
        <v>140</v>
      </c>
      <c r="E9" s="284">
        <v>48625</v>
      </c>
      <c r="F9" s="285">
        <v>7.0000000000000007E-2</v>
      </c>
      <c r="G9" s="285">
        <v>6.9000000000000006E-2</v>
      </c>
      <c r="H9" s="285">
        <v>7.1499999999999994E-2</v>
      </c>
      <c r="I9" s="286">
        <v>7.0298799999999995E-2</v>
      </c>
      <c r="J9" s="286">
        <v>7.0699999999999999E-2</v>
      </c>
      <c r="K9" s="287">
        <v>9481000</v>
      </c>
      <c r="L9" s="288">
        <v>8100000</v>
      </c>
      <c r="M9" s="292">
        <f t="shared" si="2"/>
        <v>1.1704938271604939</v>
      </c>
    </row>
    <row r="10" spans="1:15" ht="12.75" customHeight="1" outlineLevel="1" x14ac:dyDescent="0.2">
      <c r="A10" s="291"/>
      <c r="B10" s="291"/>
      <c r="C10" s="291"/>
      <c r="D10" s="283" t="s">
        <v>142</v>
      </c>
      <c r="E10" s="284">
        <v>50571</v>
      </c>
      <c r="F10" s="285">
        <v>7.1249999999999994E-2</v>
      </c>
      <c r="G10" s="285">
        <v>7.0599999999999996E-2</v>
      </c>
      <c r="H10" s="285">
        <v>7.3300000000000004E-2</v>
      </c>
      <c r="I10" s="286">
        <v>7.1199899999999997E-2</v>
      </c>
      <c r="J10" s="286">
        <v>7.1499999999999994E-2</v>
      </c>
      <c r="K10" s="287">
        <v>2616100</v>
      </c>
      <c r="L10" s="293">
        <v>2000000</v>
      </c>
      <c r="M10" s="292">
        <f t="shared" si="2"/>
        <v>1.3080499999999999</v>
      </c>
    </row>
    <row r="11" spans="1:15" ht="12.75" customHeight="1" outlineLevel="1" x14ac:dyDescent="0.2">
      <c r="A11" s="291"/>
      <c r="B11" s="291"/>
      <c r="C11" s="291"/>
      <c r="D11" s="283" t="s">
        <v>141</v>
      </c>
      <c r="E11" s="284">
        <v>52397</v>
      </c>
      <c r="F11" s="285">
        <v>7.1249999999999994E-2</v>
      </c>
      <c r="G11" s="285">
        <v>7.0999999999999994E-2</v>
      </c>
      <c r="H11" s="285">
        <v>7.2599999999999998E-2</v>
      </c>
      <c r="I11" s="286">
        <v>7.1598200000000001E-2</v>
      </c>
      <c r="J11" s="286">
        <v>7.1900000000000006E-2</v>
      </c>
      <c r="K11" s="287">
        <v>1434700</v>
      </c>
      <c r="L11" s="293">
        <v>1150000</v>
      </c>
      <c r="M11" s="292">
        <f t="shared" si="2"/>
        <v>1.2475652173913043</v>
      </c>
    </row>
    <row r="12" spans="1:15" ht="12.75" customHeight="1" outlineLevel="1" x14ac:dyDescent="0.2">
      <c r="A12" s="291"/>
      <c r="B12" s="291"/>
      <c r="C12" s="291"/>
      <c r="D12" s="283" t="s">
        <v>137</v>
      </c>
      <c r="E12" s="284">
        <v>55380</v>
      </c>
      <c r="F12" s="285">
        <v>6.8750000000000006E-2</v>
      </c>
      <c r="G12" s="285">
        <v>7.1900000000000006E-2</v>
      </c>
      <c r="H12" s="285">
        <v>7.4200000000000002E-2</v>
      </c>
      <c r="I12" s="286">
        <v>7.2563100000000005E-2</v>
      </c>
      <c r="J12" s="286">
        <v>7.2999999999999995E-2</v>
      </c>
      <c r="K12" s="287">
        <v>869000</v>
      </c>
      <c r="L12" s="293">
        <v>800000</v>
      </c>
      <c r="M12" s="292">
        <f t="shared" si="2"/>
        <v>1.0862499999999999</v>
      </c>
    </row>
    <row r="13" spans="1:15" s="1" customFormat="1" ht="12.75" customHeight="1" outlineLevel="1" x14ac:dyDescent="0.2">
      <c r="A13" s="398" t="s">
        <v>121</v>
      </c>
      <c r="B13" s="400"/>
      <c r="C13" s="400"/>
      <c r="D13" s="400"/>
      <c r="E13" s="400"/>
      <c r="F13" s="400"/>
      <c r="G13" s="400"/>
      <c r="H13" s="400"/>
      <c r="I13" s="400"/>
      <c r="J13" s="401"/>
      <c r="K13" s="294">
        <f>SUM(K6:K12)</f>
        <v>28315200</v>
      </c>
      <c r="L13" s="294">
        <f>SUM(L6:L12)</f>
        <v>19200000</v>
      </c>
      <c r="M13" s="295"/>
    </row>
    <row r="14" spans="1:15" ht="12.75" customHeight="1" outlineLevel="1" x14ac:dyDescent="0.2">
      <c r="A14" s="284">
        <v>44931</v>
      </c>
      <c r="B14" s="284">
        <v>44937</v>
      </c>
      <c r="C14" s="282" t="s">
        <v>158</v>
      </c>
      <c r="D14" s="283" t="s">
        <v>160</v>
      </c>
      <c r="E14" s="284">
        <v>46763</v>
      </c>
      <c r="F14" s="285">
        <v>4.5499999999999999E-2</v>
      </c>
      <c r="G14" s="285"/>
      <c r="H14" s="285"/>
      <c r="I14" s="286">
        <v>4.8000000000000001E-2</v>
      </c>
      <c r="J14" s="286"/>
      <c r="K14" s="293" t="s">
        <v>117</v>
      </c>
      <c r="L14" s="293" t="str">
        <f t="shared" ref="L14:L19" si="3">K14</f>
        <v>USD1.000.000.000</v>
      </c>
      <c r="M14" s="292"/>
    </row>
    <row r="15" spans="1:15" ht="12.75" customHeight="1" outlineLevel="1" x14ac:dyDescent="0.2">
      <c r="A15" s="291"/>
      <c r="B15" s="291"/>
      <c r="C15" s="282"/>
      <c r="D15" s="283"/>
      <c r="E15" s="284"/>
      <c r="F15" s="285"/>
      <c r="G15" s="285"/>
      <c r="H15" s="285"/>
      <c r="I15" s="286"/>
      <c r="J15" s="286"/>
      <c r="K15" s="293">
        <f>15589*1000000000/1000000</f>
        <v>15589000</v>
      </c>
      <c r="L15" s="293">
        <f t="shared" si="3"/>
        <v>15589000</v>
      </c>
      <c r="M15" s="292"/>
    </row>
    <row r="16" spans="1:15" ht="12.75" customHeight="1" outlineLevel="1" x14ac:dyDescent="0.2">
      <c r="A16" s="291"/>
      <c r="B16" s="284">
        <v>44937</v>
      </c>
      <c r="C16" s="282"/>
      <c r="D16" s="283" t="s">
        <v>161</v>
      </c>
      <c r="E16" s="284">
        <v>48590</v>
      </c>
      <c r="F16" s="285">
        <v>4.8500000000000001E-2</v>
      </c>
      <c r="G16" s="285"/>
      <c r="H16" s="285"/>
      <c r="I16" s="286">
        <v>5.0999999999999997E-2</v>
      </c>
      <c r="J16" s="286"/>
      <c r="K16" s="293" t="s">
        <v>163</v>
      </c>
      <c r="L16" s="293" t="str">
        <f t="shared" si="3"/>
        <v>USD1.250.000.000</v>
      </c>
      <c r="M16" s="292"/>
    </row>
    <row r="17" spans="1:13" ht="12.75" customHeight="1" outlineLevel="1" x14ac:dyDescent="0.2">
      <c r="A17" s="291"/>
      <c r="B17" s="291"/>
      <c r="C17" s="282"/>
      <c r="D17" s="283"/>
      <c r="E17" s="284"/>
      <c r="F17" s="285"/>
      <c r="G17" s="285"/>
      <c r="H17" s="285"/>
      <c r="I17" s="286"/>
      <c r="J17" s="286"/>
      <c r="K17" s="293">
        <f>15589*1250000000/1000000</f>
        <v>19486250</v>
      </c>
      <c r="L17" s="293">
        <f t="shared" si="3"/>
        <v>19486250</v>
      </c>
      <c r="M17" s="292"/>
    </row>
    <row r="18" spans="1:13" ht="12.75" customHeight="1" outlineLevel="1" x14ac:dyDescent="0.2">
      <c r="A18" s="291"/>
      <c r="B18" s="284">
        <v>44937</v>
      </c>
      <c r="C18" s="282"/>
      <c r="D18" s="283" t="s">
        <v>162</v>
      </c>
      <c r="E18" s="284">
        <v>55895</v>
      </c>
      <c r="F18" s="285">
        <v>5.6500000000000002E-2</v>
      </c>
      <c r="G18" s="285"/>
      <c r="H18" s="285"/>
      <c r="I18" s="286">
        <v>5.7500000000000002E-2</v>
      </c>
      <c r="J18" s="286"/>
      <c r="K18" s="293" t="s">
        <v>159</v>
      </c>
      <c r="L18" s="293" t="str">
        <f t="shared" si="3"/>
        <v>USD750.000.000</v>
      </c>
      <c r="M18" s="292"/>
    </row>
    <row r="19" spans="1:13" ht="12.75" customHeight="1" outlineLevel="1" x14ac:dyDescent="0.2">
      <c r="A19" s="291"/>
      <c r="B19" s="291"/>
      <c r="C19" s="282"/>
      <c r="D19" s="283"/>
      <c r="E19" s="284"/>
      <c r="F19" s="285"/>
      <c r="G19" s="285"/>
      <c r="H19" s="285"/>
      <c r="I19" s="286"/>
      <c r="J19" s="286"/>
      <c r="K19" s="293">
        <f>15589*750000000/1000000</f>
        <v>11691750</v>
      </c>
      <c r="L19" s="293">
        <f t="shared" si="3"/>
        <v>11691750</v>
      </c>
      <c r="M19" s="292"/>
    </row>
    <row r="20" spans="1:13" s="1" customFormat="1" ht="12.75" customHeight="1" outlineLevel="1" x14ac:dyDescent="0.2">
      <c r="A20" s="398" t="s">
        <v>121</v>
      </c>
      <c r="B20" s="400"/>
      <c r="C20" s="400"/>
      <c r="D20" s="400"/>
      <c r="E20" s="400"/>
      <c r="F20" s="400"/>
      <c r="G20" s="400"/>
      <c r="H20" s="400"/>
      <c r="I20" s="400"/>
      <c r="J20" s="401"/>
      <c r="K20" s="294">
        <f>SUM(K15,K17,K19)</f>
        <v>46767000</v>
      </c>
      <c r="L20" s="294">
        <f>SUM(L15,L17,L19)</f>
        <v>46767000</v>
      </c>
      <c r="M20" s="295"/>
    </row>
    <row r="21" spans="1:13" ht="12" customHeight="1" outlineLevel="1" x14ac:dyDescent="0.2">
      <c r="A21" s="164">
        <v>44936</v>
      </c>
      <c r="B21" s="164">
        <v>44938</v>
      </c>
      <c r="C21" s="160" t="s">
        <v>136</v>
      </c>
      <c r="D21" s="176" t="s">
        <v>149</v>
      </c>
      <c r="E21" s="158">
        <v>45020</v>
      </c>
      <c r="F21" s="167" t="s">
        <v>128</v>
      </c>
      <c r="G21" s="167">
        <v>4.8000000000000001E-2</v>
      </c>
      <c r="H21" s="167">
        <v>5.3800000000000001E-2</v>
      </c>
      <c r="I21" s="218">
        <v>4.9991899999999999E-2</v>
      </c>
      <c r="J21" s="192">
        <v>5.0900000000000001E-2</v>
      </c>
      <c r="K21" s="195">
        <v>5010000</v>
      </c>
      <c r="L21" s="219">
        <v>4700000</v>
      </c>
      <c r="M21" s="174">
        <f t="shared" ref="M21:M26" si="4">IF(L21=0,0,K21/L21)</f>
        <v>1.0659574468085107</v>
      </c>
    </row>
    <row r="22" spans="1:13" ht="12.75" customHeight="1" outlineLevel="1" x14ac:dyDescent="0.2">
      <c r="A22" s="164"/>
      <c r="B22" s="158"/>
      <c r="C22" s="160"/>
      <c r="D22" s="176" t="s">
        <v>146</v>
      </c>
      <c r="E22" s="158">
        <v>45884</v>
      </c>
      <c r="F22" s="167">
        <v>5.3749999999999999E-2</v>
      </c>
      <c r="G22" s="167">
        <v>6.1699999999999998E-2</v>
      </c>
      <c r="H22" s="167">
        <v>6.5500000000000003E-2</v>
      </c>
      <c r="I22" s="165">
        <v>6.3153399999999998E-2</v>
      </c>
      <c r="J22" s="159">
        <v>6.4100000000000004E-2</v>
      </c>
      <c r="K22" s="195">
        <v>5302500</v>
      </c>
      <c r="L22" s="196">
        <v>3950000</v>
      </c>
      <c r="M22" s="174">
        <f t="shared" si="4"/>
        <v>1.3424050632911393</v>
      </c>
    </row>
    <row r="23" spans="1:13" ht="12.75" customHeight="1" outlineLevel="1" x14ac:dyDescent="0.2">
      <c r="A23" s="156"/>
      <c r="B23" s="156"/>
      <c r="C23" s="156"/>
      <c r="D23" s="176" t="s">
        <v>50</v>
      </c>
      <c r="E23" s="158">
        <v>46402</v>
      </c>
      <c r="F23" s="167">
        <v>0.06</v>
      </c>
      <c r="G23" s="167">
        <v>6.3E-2</v>
      </c>
      <c r="H23" s="167">
        <v>6.7000000000000004E-2</v>
      </c>
      <c r="I23" s="165">
        <v>6.3934299999999999E-2</v>
      </c>
      <c r="J23" s="159">
        <v>6.4899999999999999E-2</v>
      </c>
      <c r="K23" s="195">
        <v>3026000</v>
      </c>
      <c r="L23" s="196">
        <v>2800000</v>
      </c>
      <c r="M23" s="174">
        <f t="shared" si="4"/>
        <v>1.0807142857142857</v>
      </c>
    </row>
    <row r="24" spans="1:13" ht="12.75" customHeight="1" outlineLevel="1" x14ac:dyDescent="0.2">
      <c r="A24" s="156"/>
      <c r="B24" s="156"/>
      <c r="C24" s="156"/>
      <c r="D24" s="176" t="s">
        <v>150</v>
      </c>
      <c r="E24" s="158">
        <v>49749</v>
      </c>
      <c r="F24" s="167">
        <v>6.8750000000000006E-2</v>
      </c>
      <c r="G24" s="167">
        <v>6.9000000000000006E-2</v>
      </c>
      <c r="H24" s="167">
        <v>7.4200000000000002E-2</v>
      </c>
      <c r="I24" s="165">
        <v>7.0923899999999998E-2</v>
      </c>
      <c r="J24" s="159">
        <v>7.1900000000000006E-2</v>
      </c>
      <c r="K24" s="195">
        <v>3346700</v>
      </c>
      <c r="L24" s="196">
        <v>1650000</v>
      </c>
      <c r="M24" s="174">
        <f t="shared" si="4"/>
        <v>2.0283030303030305</v>
      </c>
    </row>
    <row r="25" spans="1:13" ht="12.75" customHeight="1" outlineLevel="1" x14ac:dyDescent="0.2">
      <c r="A25" s="156"/>
      <c r="B25" s="156"/>
      <c r="C25" s="156"/>
      <c r="D25" s="176" t="s">
        <v>147</v>
      </c>
      <c r="E25" s="158">
        <v>50936</v>
      </c>
      <c r="F25" s="167">
        <v>6.5000000000000002E-2</v>
      </c>
      <c r="G25" s="167">
        <v>7.1199999999999999E-2</v>
      </c>
      <c r="H25" s="167">
        <v>7.2999999999999995E-2</v>
      </c>
      <c r="I25" s="197">
        <v>7.1684800000000007E-2</v>
      </c>
      <c r="J25" s="198">
        <v>7.2499999999999995E-2</v>
      </c>
      <c r="K25" s="195">
        <v>152000</v>
      </c>
      <c r="L25" s="196">
        <v>140000</v>
      </c>
      <c r="M25" s="174">
        <f t="shared" si="4"/>
        <v>1.0857142857142856</v>
      </c>
    </row>
    <row r="26" spans="1:13" ht="12.75" customHeight="1" outlineLevel="1" x14ac:dyDescent="0.2">
      <c r="A26" s="156"/>
      <c r="B26" s="156"/>
      <c r="C26" s="156"/>
      <c r="D26" s="176" t="s">
        <v>148</v>
      </c>
      <c r="E26" s="158">
        <v>53858</v>
      </c>
      <c r="F26" s="167">
        <v>6.7500000000000004E-2</v>
      </c>
      <c r="G26" s="167">
        <v>7.2499999999999995E-2</v>
      </c>
      <c r="H26" s="167">
        <v>7.3499999999999996E-2</v>
      </c>
      <c r="I26" s="159">
        <v>7.2999700000000001E-2</v>
      </c>
      <c r="J26" s="199">
        <v>7.3499999999999996E-2</v>
      </c>
      <c r="K26" s="195">
        <v>611100</v>
      </c>
      <c r="L26" s="195">
        <v>610000</v>
      </c>
      <c r="M26" s="174">
        <f t="shared" si="4"/>
        <v>1.0018032786885247</v>
      </c>
    </row>
    <row r="27" spans="1:13" s="1" customFormat="1" ht="12.75" customHeight="1" outlineLevel="1" x14ac:dyDescent="0.2">
      <c r="A27" s="417" t="s">
        <v>121</v>
      </c>
      <c r="B27" s="418"/>
      <c r="C27" s="418"/>
      <c r="D27" s="418"/>
      <c r="E27" s="418"/>
      <c r="F27" s="418"/>
      <c r="G27" s="418"/>
      <c r="H27" s="418"/>
      <c r="I27" s="418"/>
      <c r="J27" s="419"/>
      <c r="K27" s="200">
        <f>SUM(K21:K26)</f>
        <v>17448300</v>
      </c>
      <c r="L27" s="200">
        <f>SUM(L21:L26)</f>
        <v>13850000</v>
      </c>
      <c r="M27" s="179"/>
    </row>
    <row r="28" spans="1:13" s="1" customFormat="1" ht="12.75" customHeight="1" outlineLevel="1" x14ac:dyDescent="0.2">
      <c r="A28" s="180">
        <v>44938</v>
      </c>
      <c r="B28" s="180">
        <v>44939</v>
      </c>
      <c r="C28" s="181" t="s">
        <v>138</v>
      </c>
      <c r="D28" s="182" t="s">
        <v>151</v>
      </c>
      <c r="E28" s="183">
        <v>45670</v>
      </c>
      <c r="F28" s="190">
        <v>6.25E-2</v>
      </c>
      <c r="G28" s="184" t="s">
        <v>130</v>
      </c>
      <c r="H28" s="184" t="s">
        <v>130</v>
      </c>
      <c r="I28" s="190">
        <v>6.25E-2</v>
      </c>
      <c r="J28" s="184" t="s">
        <v>130</v>
      </c>
      <c r="K28" s="185">
        <v>300000</v>
      </c>
      <c r="L28" s="185">
        <f t="shared" ref="L28" si="5">K28</f>
        <v>300000</v>
      </c>
      <c r="M28" s="186">
        <f t="shared" ref="M28" si="6">IF(L28=0,0,K28/L28)</f>
        <v>1</v>
      </c>
    </row>
    <row r="29" spans="1:13" s="1" customFormat="1" ht="12.75" customHeight="1" outlineLevel="1" x14ac:dyDescent="0.2">
      <c r="A29" s="424" t="s">
        <v>121</v>
      </c>
      <c r="B29" s="425"/>
      <c r="C29" s="425"/>
      <c r="D29" s="425"/>
      <c r="E29" s="425"/>
      <c r="F29" s="425"/>
      <c r="G29" s="425"/>
      <c r="H29" s="425"/>
      <c r="I29" s="425"/>
      <c r="J29" s="426"/>
      <c r="K29" s="188">
        <f>SUM(K28:K28)</f>
        <v>300000</v>
      </c>
      <c r="L29" s="188">
        <f>SUM(L28:L28)</f>
        <v>300000</v>
      </c>
      <c r="M29" s="188"/>
    </row>
    <row r="30" spans="1:13" ht="12.75" customHeight="1" outlineLevel="1" x14ac:dyDescent="0.2">
      <c r="A30" s="281">
        <v>44943</v>
      </c>
      <c r="B30" s="281">
        <v>44945</v>
      </c>
      <c r="C30" s="282" t="s">
        <v>136</v>
      </c>
      <c r="D30" s="283" t="s">
        <v>152</v>
      </c>
      <c r="E30" s="284">
        <v>45035</v>
      </c>
      <c r="F30" s="285" t="s">
        <v>128</v>
      </c>
      <c r="G30" s="285">
        <v>4.4999999999999998E-2</v>
      </c>
      <c r="H30" s="285">
        <v>4.7500000000000001E-2</v>
      </c>
      <c r="I30" s="286">
        <v>4.5319999999999999E-2</v>
      </c>
      <c r="J30" s="286">
        <v>4.5499999999999999E-2</v>
      </c>
      <c r="K30" s="287">
        <v>2230000</v>
      </c>
      <c r="L30" s="288">
        <v>1000000</v>
      </c>
      <c r="M30" s="289">
        <f>IF(L30=0,0,K30/L30)</f>
        <v>2.23</v>
      </c>
    </row>
    <row r="31" spans="1:13" ht="12.75" customHeight="1" outlineLevel="1" x14ac:dyDescent="0.2">
      <c r="A31" s="281"/>
      <c r="B31" s="284"/>
      <c r="C31" s="282"/>
      <c r="D31" s="283" t="s">
        <v>145</v>
      </c>
      <c r="E31" s="284">
        <v>45295</v>
      </c>
      <c r="F31" s="285" t="s">
        <v>128</v>
      </c>
      <c r="G31" s="285">
        <v>5.4300000000000001E-2</v>
      </c>
      <c r="H31" s="285">
        <v>0.06</v>
      </c>
      <c r="I31" s="285">
        <v>5.4496299999999998E-2</v>
      </c>
      <c r="J31" s="286">
        <v>5.4699999999999999E-2</v>
      </c>
      <c r="K31" s="287">
        <v>6393000</v>
      </c>
      <c r="L31" s="288">
        <v>2000000</v>
      </c>
      <c r="M31" s="290">
        <f t="shared" ref="M31:M36" si="7">IF(L31=0,0,K31/L31)</f>
        <v>3.1964999999999999</v>
      </c>
    </row>
    <row r="32" spans="1:13" ht="12.75" customHeight="1" outlineLevel="1" x14ac:dyDescent="0.2">
      <c r="A32" s="291"/>
      <c r="B32" s="291"/>
      <c r="C32" s="291"/>
      <c r="D32" s="283" t="s">
        <v>139</v>
      </c>
      <c r="E32" s="284">
        <v>46980</v>
      </c>
      <c r="F32" s="285">
        <v>6.3750000000000001E-2</v>
      </c>
      <c r="G32" s="285">
        <v>6.4100000000000004E-2</v>
      </c>
      <c r="H32" s="285">
        <v>6.7000000000000004E-2</v>
      </c>
      <c r="I32" s="286">
        <v>6.4799800000000005E-2</v>
      </c>
      <c r="J32" s="286">
        <v>6.5000000000000002E-2</v>
      </c>
      <c r="K32" s="287">
        <v>22590600</v>
      </c>
      <c r="L32" s="288">
        <v>7150000</v>
      </c>
      <c r="M32" s="290">
        <f t="shared" si="7"/>
        <v>3.1595244755244756</v>
      </c>
    </row>
    <row r="33" spans="1:15" ht="12.75" customHeight="1" outlineLevel="1" x14ac:dyDescent="0.2">
      <c r="A33" s="291"/>
      <c r="B33" s="291"/>
      <c r="C33" s="291"/>
      <c r="D33" s="283" t="s">
        <v>140</v>
      </c>
      <c r="E33" s="284">
        <v>48625</v>
      </c>
      <c r="F33" s="285">
        <v>7.0000000000000007E-2</v>
      </c>
      <c r="G33" s="285">
        <v>6.7199999999999996E-2</v>
      </c>
      <c r="H33" s="285">
        <v>7.0000000000000007E-2</v>
      </c>
      <c r="I33" s="286">
        <v>6.7892599999999997E-2</v>
      </c>
      <c r="J33" s="286">
        <v>6.8000000000000005E-2</v>
      </c>
      <c r="K33" s="287">
        <v>19323800</v>
      </c>
      <c r="L33" s="288">
        <v>9150000</v>
      </c>
      <c r="M33" s="292">
        <f t="shared" si="7"/>
        <v>2.1118907103825135</v>
      </c>
    </row>
    <row r="34" spans="1:15" ht="12.75" customHeight="1" outlineLevel="1" x14ac:dyDescent="0.2">
      <c r="A34" s="291"/>
      <c r="B34" s="291"/>
      <c r="C34" s="291"/>
      <c r="D34" s="283" t="s">
        <v>142</v>
      </c>
      <c r="E34" s="284">
        <v>50571</v>
      </c>
      <c r="F34" s="285">
        <v>7.1249999999999994E-2</v>
      </c>
      <c r="G34" s="285">
        <v>6.8199999999999997E-2</v>
      </c>
      <c r="H34" s="285">
        <v>7.0000000000000007E-2</v>
      </c>
      <c r="I34" s="286">
        <v>6.8599599999999997E-2</v>
      </c>
      <c r="J34" s="286">
        <v>6.88E-2</v>
      </c>
      <c r="K34" s="287">
        <v>2676000</v>
      </c>
      <c r="L34" s="293">
        <v>950000</v>
      </c>
      <c r="M34" s="292">
        <f t="shared" si="7"/>
        <v>2.816842105263158</v>
      </c>
    </row>
    <row r="35" spans="1:15" ht="12.75" customHeight="1" outlineLevel="1" x14ac:dyDescent="0.2">
      <c r="A35" s="291"/>
      <c r="B35" s="291"/>
      <c r="C35" s="291"/>
      <c r="D35" s="283" t="s">
        <v>141</v>
      </c>
      <c r="E35" s="284">
        <v>52397</v>
      </c>
      <c r="F35" s="285">
        <v>7.1249999999999994E-2</v>
      </c>
      <c r="G35" s="285">
        <v>6.88E-2</v>
      </c>
      <c r="H35" s="285">
        <v>7.0999999999999994E-2</v>
      </c>
      <c r="I35" s="286">
        <v>6.8986099999999995E-2</v>
      </c>
      <c r="J35" s="286">
        <v>6.9199999999999998E-2</v>
      </c>
      <c r="K35" s="287">
        <v>2738000</v>
      </c>
      <c r="L35" s="293">
        <v>750000</v>
      </c>
      <c r="M35" s="292">
        <f t="shared" si="7"/>
        <v>3.6506666666666665</v>
      </c>
    </row>
    <row r="36" spans="1:15" ht="12.75" customHeight="1" outlineLevel="1" x14ac:dyDescent="0.2">
      <c r="A36" s="291"/>
      <c r="B36" s="291"/>
      <c r="C36" s="291"/>
      <c r="D36" s="283" t="s">
        <v>137</v>
      </c>
      <c r="E36" s="284">
        <v>55380</v>
      </c>
      <c r="F36" s="285">
        <v>6.8750000000000006E-2</v>
      </c>
      <c r="G36" s="285">
        <v>7.0999999999999994E-2</v>
      </c>
      <c r="H36" s="285">
        <v>7.3499999999999996E-2</v>
      </c>
      <c r="I36" s="286">
        <v>7.1860900000000005E-2</v>
      </c>
      <c r="J36" s="286">
        <v>7.1999999999999995E-2</v>
      </c>
      <c r="K36" s="287">
        <v>3094900</v>
      </c>
      <c r="L36" s="293">
        <v>2000000</v>
      </c>
      <c r="M36" s="292">
        <f t="shared" si="7"/>
        <v>1.54745</v>
      </c>
    </row>
    <row r="37" spans="1:15" s="1" customFormat="1" ht="12.75" customHeight="1" outlineLevel="1" x14ac:dyDescent="0.2">
      <c r="A37" s="398" t="s">
        <v>121</v>
      </c>
      <c r="B37" s="400"/>
      <c r="C37" s="400"/>
      <c r="D37" s="400"/>
      <c r="E37" s="400"/>
      <c r="F37" s="400"/>
      <c r="G37" s="400"/>
      <c r="H37" s="400"/>
      <c r="I37" s="400"/>
      <c r="J37" s="401"/>
      <c r="K37" s="294">
        <f>SUM(K30:K36)</f>
        <v>59046300</v>
      </c>
      <c r="L37" s="294">
        <f>SUM(L30:L36)</f>
        <v>23000000</v>
      </c>
      <c r="M37" s="295"/>
    </row>
    <row r="38" spans="1:15" ht="12" customHeight="1" outlineLevel="1" x14ac:dyDescent="0.2">
      <c r="A38" s="164">
        <v>44950</v>
      </c>
      <c r="B38" s="164">
        <v>44952</v>
      </c>
      <c r="C38" s="160" t="s">
        <v>136</v>
      </c>
      <c r="D38" s="176" t="s">
        <v>149</v>
      </c>
      <c r="E38" s="158">
        <v>45118</v>
      </c>
      <c r="F38" s="167" t="s">
        <v>128</v>
      </c>
      <c r="G38" s="167">
        <v>0.05</v>
      </c>
      <c r="H38" s="167">
        <v>5.2999999999999999E-2</v>
      </c>
      <c r="I38" s="218">
        <v>0.05</v>
      </c>
      <c r="J38" s="218">
        <v>0.05</v>
      </c>
      <c r="K38" s="195">
        <v>5885000</v>
      </c>
      <c r="L38" s="219">
        <v>500000</v>
      </c>
      <c r="M38" s="174">
        <f t="shared" ref="M38:M43" si="8">IF(L38=0,0,K38/L38)</f>
        <v>11.77</v>
      </c>
    </row>
    <row r="39" spans="1:15" ht="12.75" customHeight="1" outlineLevel="1" x14ac:dyDescent="0.2">
      <c r="A39" s="164"/>
      <c r="B39" s="158"/>
      <c r="C39" s="160"/>
      <c r="D39" s="176" t="s">
        <v>146</v>
      </c>
      <c r="E39" s="158">
        <v>45884</v>
      </c>
      <c r="F39" s="167">
        <v>5.3749999999999999E-2</v>
      </c>
      <c r="G39" s="167">
        <v>6.25E-2</v>
      </c>
      <c r="H39" s="167">
        <v>6.6000000000000003E-2</v>
      </c>
      <c r="I39" s="165">
        <v>6.2724000000000002E-2</v>
      </c>
      <c r="J39" s="159">
        <v>6.3100000000000003E-2</v>
      </c>
      <c r="K39" s="195">
        <v>8672000</v>
      </c>
      <c r="L39" s="196">
        <v>3150000</v>
      </c>
      <c r="M39" s="174">
        <f t="shared" si="8"/>
        <v>2.7530158730158729</v>
      </c>
    </row>
    <row r="40" spans="1:15" ht="12.75" customHeight="1" outlineLevel="1" x14ac:dyDescent="0.2">
      <c r="A40" s="156"/>
      <c r="B40" s="156"/>
      <c r="C40" s="156"/>
      <c r="D40" s="176" t="s">
        <v>50</v>
      </c>
      <c r="E40" s="158">
        <v>46402</v>
      </c>
      <c r="F40" s="167">
        <v>0.06</v>
      </c>
      <c r="G40" s="167">
        <v>6.3500000000000001E-2</v>
      </c>
      <c r="H40" s="167">
        <v>6.59E-2</v>
      </c>
      <c r="I40" s="165">
        <v>6.3831899999999997E-2</v>
      </c>
      <c r="J40" s="159">
        <v>6.4799999999999996E-2</v>
      </c>
      <c r="K40" s="195">
        <v>4944000</v>
      </c>
      <c r="L40" s="196">
        <v>3850000</v>
      </c>
      <c r="M40" s="174">
        <f t="shared" si="8"/>
        <v>1.2841558441558441</v>
      </c>
    </row>
    <row r="41" spans="1:15" ht="12.75" customHeight="1" outlineLevel="1" x14ac:dyDescent="0.2">
      <c r="A41" s="156"/>
      <c r="B41" s="156"/>
      <c r="C41" s="156"/>
      <c r="D41" s="2" t="s">
        <v>153</v>
      </c>
      <c r="E41" s="158">
        <v>47376</v>
      </c>
      <c r="F41" s="167">
        <v>6.6250000000000003E-2</v>
      </c>
      <c r="G41" s="167">
        <v>6.4699999999999994E-2</v>
      </c>
      <c r="H41" s="167">
        <v>6.7000000000000004E-2</v>
      </c>
      <c r="I41" s="165">
        <v>6.5196400000000002E-2</v>
      </c>
      <c r="J41" s="159">
        <v>6.6100000000000006E-2</v>
      </c>
      <c r="K41" s="195">
        <v>4188000</v>
      </c>
      <c r="L41" s="196">
        <v>3950000</v>
      </c>
      <c r="M41" s="174">
        <f t="shared" si="8"/>
        <v>1.0602531645569619</v>
      </c>
    </row>
    <row r="42" spans="1:15" ht="12.75" customHeight="1" outlineLevel="1" x14ac:dyDescent="0.2">
      <c r="A42" s="156"/>
      <c r="B42" s="156"/>
      <c r="C42" s="156"/>
      <c r="D42" s="176" t="s">
        <v>150</v>
      </c>
      <c r="E42" s="158">
        <v>49749</v>
      </c>
      <c r="F42" s="167">
        <v>6.8750000000000006E-2</v>
      </c>
      <c r="G42" s="167">
        <v>7.0499999999999993E-2</v>
      </c>
      <c r="H42" s="167">
        <v>7.3099999999999998E-2</v>
      </c>
      <c r="I42" s="197">
        <v>7.1295300000000006E-2</v>
      </c>
      <c r="J42" s="198">
        <v>7.1400000000000005E-2</v>
      </c>
      <c r="K42" s="195">
        <v>3583800</v>
      </c>
      <c r="L42" s="196">
        <v>1800000</v>
      </c>
      <c r="M42" s="174">
        <f t="shared" si="8"/>
        <v>1.9910000000000001</v>
      </c>
    </row>
    <row r="43" spans="1:15" ht="12.75" customHeight="1" outlineLevel="1" x14ac:dyDescent="0.2">
      <c r="A43" s="156"/>
      <c r="B43" s="156"/>
      <c r="C43" s="156"/>
      <c r="D43" s="176" t="s">
        <v>148</v>
      </c>
      <c r="E43" s="158">
        <v>53858</v>
      </c>
      <c r="F43" s="167">
        <v>6.7500000000000004E-2</v>
      </c>
      <c r="G43" s="167">
        <v>7.2499999999999995E-2</v>
      </c>
      <c r="H43" s="167">
        <v>7.4200000000000002E-2</v>
      </c>
      <c r="I43" s="159">
        <v>7.3191099999999995E-2</v>
      </c>
      <c r="J43" s="199">
        <v>7.3499999999999996E-2</v>
      </c>
      <c r="K43" s="195">
        <v>1273500</v>
      </c>
      <c r="L43" s="195">
        <v>900000</v>
      </c>
      <c r="M43" s="174">
        <f t="shared" si="8"/>
        <v>1.415</v>
      </c>
    </row>
    <row r="44" spans="1:15" s="1" customFormat="1" ht="12.75" customHeight="1" outlineLevel="1" x14ac:dyDescent="0.2">
      <c r="A44" s="417" t="s">
        <v>121</v>
      </c>
      <c r="B44" s="418"/>
      <c r="C44" s="418"/>
      <c r="D44" s="418"/>
      <c r="E44" s="418"/>
      <c r="F44" s="418"/>
      <c r="G44" s="418"/>
      <c r="H44" s="418"/>
      <c r="I44" s="418"/>
      <c r="J44" s="419"/>
      <c r="K44" s="200">
        <f>SUM(K38:K43)</f>
        <v>28546300</v>
      </c>
      <c r="L44" s="200">
        <f>SUM(L38:L43)</f>
        <v>14150000</v>
      </c>
      <c r="M44" s="179"/>
    </row>
    <row r="45" spans="1:15" s="187" customFormat="1" ht="17.25" customHeight="1" outlineLevel="1" x14ac:dyDescent="0.2">
      <c r="A45" s="271">
        <v>44950</v>
      </c>
      <c r="B45" s="271">
        <v>44953</v>
      </c>
      <c r="C45" s="272" t="s">
        <v>138</v>
      </c>
      <c r="D45" s="273" t="s">
        <v>165</v>
      </c>
      <c r="E45" s="274">
        <v>47133</v>
      </c>
      <c r="F45" s="275">
        <v>6.4000000000000001E-2</v>
      </c>
      <c r="G45" s="276" t="s">
        <v>130</v>
      </c>
      <c r="H45" s="276" t="s">
        <v>130</v>
      </c>
      <c r="I45" s="277">
        <v>6.4000000000000001E-2</v>
      </c>
      <c r="J45" s="276" t="s">
        <v>130</v>
      </c>
      <c r="K45" s="278">
        <v>589372</v>
      </c>
      <c r="L45" s="278">
        <f>K45</f>
        <v>589372</v>
      </c>
      <c r="M45" s="279">
        <f t="shared" ref="M45" si="9">IF(L45=0,0,K45/L45)</f>
        <v>1</v>
      </c>
      <c r="O45" s="189"/>
    </row>
    <row r="46" spans="1:15" ht="12.75" customHeight="1" outlineLevel="1" x14ac:dyDescent="0.2">
      <c r="A46" s="291"/>
      <c r="B46" s="284"/>
      <c r="C46" s="282"/>
      <c r="D46" s="283" t="s">
        <v>164</v>
      </c>
      <c r="E46" s="284">
        <v>48228</v>
      </c>
      <c r="F46" s="285">
        <v>0.03</v>
      </c>
      <c r="G46" s="285"/>
      <c r="H46" s="285"/>
      <c r="I46" s="286">
        <v>4.5999999999999999E-2</v>
      </c>
      <c r="J46" s="286"/>
      <c r="K46" s="293" t="s">
        <v>166</v>
      </c>
      <c r="L46" s="293" t="str">
        <f>K46</f>
        <v>USD13.803.000</v>
      </c>
      <c r="M46" s="292"/>
    </row>
    <row r="47" spans="1:15" ht="12.75" customHeight="1" outlineLevel="1" x14ac:dyDescent="0.2">
      <c r="A47" s="291"/>
      <c r="B47" s="291"/>
      <c r="C47" s="282"/>
      <c r="D47" s="283"/>
      <c r="E47" s="284"/>
      <c r="F47" s="285"/>
      <c r="G47" s="285"/>
      <c r="H47" s="285"/>
      <c r="I47" s="286"/>
      <c r="J47" s="286"/>
      <c r="K47" s="293">
        <f>14964*13803000/1000000</f>
        <v>206548.092</v>
      </c>
      <c r="L47" s="293">
        <f>K47</f>
        <v>206548.092</v>
      </c>
      <c r="M47" s="292"/>
    </row>
    <row r="48" spans="1:15" s="187" customFormat="1" ht="13.5" customHeight="1" outlineLevel="1" x14ac:dyDescent="0.2">
      <c r="A48" s="427" t="s">
        <v>121</v>
      </c>
      <c r="B48" s="428"/>
      <c r="C48" s="428"/>
      <c r="D48" s="428"/>
      <c r="E48" s="428"/>
      <c r="F48" s="428"/>
      <c r="G48" s="428"/>
      <c r="H48" s="428"/>
      <c r="I48" s="428"/>
      <c r="J48" s="429"/>
      <c r="K48" s="280">
        <f>SUM(K45,K47)</f>
        <v>795920.09199999995</v>
      </c>
      <c r="L48" s="280">
        <f>SUM(L45,L47)</f>
        <v>795920.09199999995</v>
      </c>
      <c r="M48" s="280"/>
    </row>
    <row r="49" spans="1:13" ht="12.75" customHeight="1" x14ac:dyDescent="0.2">
      <c r="A49" s="402" t="s">
        <v>143</v>
      </c>
      <c r="B49" s="403"/>
      <c r="C49" s="403"/>
      <c r="D49" s="403"/>
      <c r="E49" s="403"/>
      <c r="F49" s="403"/>
      <c r="G49" s="403"/>
      <c r="H49" s="403"/>
      <c r="I49" s="403"/>
      <c r="J49" s="404"/>
      <c r="K49" s="177">
        <f>SUM(K5+K13+K20+K27+K29+K37+K44+K48)</f>
        <v>182219020.09200001</v>
      </c>
      <c r="L49" s="177">
        <f>SUM(L5+L13+L20+L27+L29+L37+L44+L48)</f>
        <v>119062920.09199999</v>
      </c>
      <c r="M49" s="166"/>
    </row>
    <row r="50" spans="1:13" ht="12.75" customHeight="1" x14ac:dyDescent="0.2">
      <c r="A50" s="402" t="s">
        <v>248</v>
      </c>
      <c r="B50" s="403"/>
      <c r="C50" s="403"/>
      <c r="D50" s="403"/>
      <c r="E50" s="403"/>
      <c r="F50" s="403"/>
      <c r="G50" s="403"/>
      <c r="H50" s="403"/>
      <c r="I50" s="403"/>
      <c r="J50" s="404"/>
      <c r="K50" s="177">
        <f>SUM(K49)</f>
        <v>182219020.09200001</v>
      </c>
      <c r="L50" s="177">
        <f>SUM(L49)</f>
        <v>119062920.09199999</v>
      </c>
      <c r="M50" s="166"/>
    </row>
    <row r="51" spans="1:13" ht="12.75" customHeight="1" outlineLevel="1" x14ac:dyDescent="0.2">
      <c r="A51" s="281">
        <v>44957</v>
      </c>
      <c r="B51" s="281">
        <v>44959</v>
      </c>
      <c r="C51" s="282" t="s">
        <v>136</v>
      </c>
      <c r="D51" s="283" t="s">
        <v>155</v>
      </c>
      <c r="E51" s="284">
        <v>45049</v>
      </c>
      <c r="F51" s="285" t="s">
        <v>128</v>
      </c>
      <c r="G51" s="285">
        <v>4.4999999999999998E-2</v>
      </c>
      <c r="H51" s="285">
        <v>4.8000000000000001E-2</v>
      </c>
      <c r="I51" s="286">
        <v>4.4999999999999998E-2</v>
      </c>
      <c r="J51" s="286">
        <v>4.4999999999999998E-2</v>
      </c>
      <c r="K51" s="287">
        <v>2995000</v>
      </c>
      <c r="L51" s="288">
        <v>1000000</v>
      </c>
      <c r="M51" s="289">
        <f>IF(L51=0,0,K51/L51)</f>
        <v>2.9950000000000001</v>
      </c>
    </row>
    <row r="52" spans="1:13" ht="12.75" customHeight="1" outlineLevel="1" x14ac:dyDescent="0.2">
      <c r="A52" s="281"/>
      <c r="B52" s="284"/>
      <c r="C52" s="282"/>
      <c r="D52" s="283" t="s">
        <v>156</v>
      </c>
      <c r="E52" s="284">
        <v>45323</v>
      </c>
      <c r="F52" s="285" t="s">
        <v>128</v>
      </c>
      <c r="G52" s="285">
        <v>5.45E-2</v>
      </c>
      <c r="H52" s="285">
        <v>5.7500000000000002E-2</v>
      </c>
      <c r="I52" s="285">
        <v>5.5030000000000003E-2</v>
      </c>
      <c r="J52" s="286">
        <v>5.5500000000000001E-2</v>
      </c>
      <c r="K52" s="287">
        <v>5715000</v>
      </c>
      <c r="L52" s="288">
        <v>2000000</v>
      </c>
      <c r="M52" s="290">
        <f t="shared" ref="M52:M58" si="10">IF(L52=0,0,K52/L52)</f>
        <v>2.8574999999999999</v>
      </c>
    </row>
    <row r="53" spans="1:13" ht="12.75" customHeight="1" outlineLevel="1" x14ac:dyDescent="0.2">
      <c r="A53" s="291"/>
      <c r="B53" s="291"/>
      <c r="C53" s="291"/>
      <c r="D53" s="283" t="s">
        <v>139</v>
      </c>
      <c r="E53" s="284">
        <v>46980</v>
      </c>
      <c r="F53" s="285">
        <v>6.3750000000000001E-2</v>
      </c>
      <c r="G53" s="285">
        <v>6.3500000000000001E-2</v>
      </c>
      <c r="H53" s="285">
        <v>6.5600000000000006E-2</v>
      </c>
      <c r="I53" s="286">
        <v>6.3500000000000001E-2</v>
      </c>
      <c r="J53" s="286">
        <v>6.3500000000000001E-2</v>
      </c>
      <c r="K53" s="287">
        <v>21890500</v>
      </c>
      <c r="L53" s="288">
        <v>8150000</v>
      </c>
      <c r="M53" s="290">
        <f t="shared" si="10"/>
        <v>2.6859509202453986</v>
      </c>
    </row>
    <row r="54" spans="1:13" ht="12.75" customHeight="1" outlineLevel="1" x14ac:dyDescent="0.2">
      <c r="A54" s="291"/>
      <c r="B54" s="291"/>
      <c r="C54" s="291"/>
      <c r="D54" s="283" t="s">
        <v>157</v>
      </c>
      <c r="E54" s="284">
        <v>47771</v>
      </c>
      <c r="F54" s="285">
        <v>7.3749999999999996E-2</v>
      </c>
      <c r="G54" s="285">
        <v>6.5500000000000003E-2</v>
      </c>
      <c r="H54" s="285">
        <v>6.93E-2</v>
      </c>
      <c r="I54" s="286">
        <v>6.5500000000000003E-2</v>
      </c>
      <c r="J54" s="286">
        <v>6.5500000000000003E-2</v>
      </c>
      <c r="K54" s="287">
        <v>6168500</v>
      </c>
      <c r="L54" s="288">
        <v>4550000</v>
      </c>
      <c r="M54" s="290">
        <f t="shared" si="10"/>
        <v>1.3557142857142856</v>
      </c>
    </row>
    <row r="55" spans="1:13" ht="12.75" customHeight="1" outlineLevel="1" x14ac:dyDescent="0.2">
      <c r="A55" s="291"/>
      <c r="B55" s="291"/>
      <c r="C55" s="291"/>
      <c r="D55" s="283" t="s">
        <v>140</v>
      </c>
      <c r="E55" s="284">
        <v>48625</v>
      </c>
      <c r="F55" s="285">
        <v>7.0000000000000007E-2</v>
      </c>
      <c r="G55" s="285">
        <v>6.7000000000000004E-2</v>
      </c>
      <c r="H55" s="285">
        <v>6.9000000000000006E-2</v>
      </c>
      <c r="I55" s="286">
        <v>6.7499299999999998E-2</v>
      </c>
      <c r="J55" s="286">
        <v>6.7599999999999993E-2</v>
      </c>
      <c r="K55" s="287">
        <v>21346200</v>
      </c>
      <c r="L55" s="288">
        <v>4300000</v>
      </c>
      <c r="M55" s="292">
        <f t="shared" si="10"/>
        <v>4.9642325581395346</v>
      </c>
    </row>
    <row r="56" spans="1:13" ht="12.75" customHeight="1" outlineLevel="1" x14ac:dyDescent="0.2">
      <c r="A56" s="291"/>
      <c r="B56" s="291"/>
      <c r="C56" s="291"/>
      <c r="D56" s="283" t="s">
        <v>142</v>
      </c>
      <c r="E56" s="284">
        <v>50571</v>
      </c>
      <c r="F56" s="285">
        <v>7.1249999999999994E-2</v>
      </c>
      <c r="G56" s="285">
        <v>6.8500000000000005E-2</v>
      </c>
      <c r="H56" s="285">
        <v>7.0999999999999994E-2</v>
      </c>
      <c r="I56" s="286">
        <v>6.8943000000000004E-2</v>
      </c>
      <c r="J56" s="286">
        <v>6.9099999999999995E-2</v>
      </c>
      <c r="K56" s="287">
        <v>2297500</v>
      </c>
      <c r="L56" s="293">
        <v>900000</v>
      </c>
      <c r="M56" s="292">
        <f t="shared" si="10"/>
        <v>2.5527777777777776</v>
      </c>
    </row>
    <row r="57" spans="1:13" ht="12.75" customHeight="1" outlineLevel="1" x14ac:dyDescent="0.2">
      <c r="A57" s="291"/>
      <c r="B57" s="291"/>
      <c r="C57" s="291"/>
      <c r="D57" s="283" t="s">
        <v>141</v>
      </c>
      <c r="E57" s="284">
        <v>52397</v>
      </c>
      <c r="F57" s="285">
        <v>7.1249999999999994E-2</v>
      </c>
      <c r="G57" s="285">
        <v>6.9000000000000006E-2</v>
      </c>
      <c r="H57" s="285">
        <v>7.2499999999999995E-2</v>
      </c>
      <c r="I57" s="286">
        <v>6.9161899999999998E-2</v>
      </c>
      <c r="J57" s="286">
        <v>6.9500000000000006E-2</v>
      </c>
      <c r="K57" s="287">
        <v>2547500</v>
      </c>
      <c r="L57" s="293">
        <v>1150000</v>
      </c>
      <c r="M57" s="292">
        <f t="shared" si="10"/>
        <v>2.215217391304348</v>
      </c>
    </row>
    <row r="58" spans="1:13" ht="12.75" customHeight="1" outlineLevel="1" x14ac:dyDescent="0.2">
      <c r="A58" s="291"/>
      <c r="B58" s="291"/>
      <c r="C58" s="291"/>
      <c r="D58" s="283" t="s">
        <v>137</v>
      </c>
      <c r="E58" s="284">
        <v>55380</v>
      </c>
      <c r="F58" s="285">
        <v>6.8750000000000006E-2</v>
      </c>
      <c r="G58" s="285">
        <v>7.0499999999999993E-2</v>
      </c>
      <c r="H58" s="285">
        <v>7.3499999999999996E-2</v>
      </c>
      <c r="I58" s="286">
        <v>7.0931400000000006E-2</v>
      </c>
      <c r="J58" s="286">
        <v>7.1300000000000002E-2</v>
      </c>
      <c r="K58" s="287">
        <v>4122900</v>
      </c>
      <c r="L58" s="293">
        <v>950000</v>
      </c>
      <c r="M58" s="292">
        <f t="shared" si="10"/>
        <v>4.3398947368421057</v>
      </c>
    </row>
    <row r="59" spans="1:13" s="1" customFormat="1" ht="12.75" customHeight="1" outlineLevel="1" x14ac:dyDescent="0.2">
      <c r="A59" s="398" t="s">
        <v>121</v>
      </c>
      <c r="B59" s="400"/>
      <c r="C59" s="400"/>
      <c r="D59" s="400"/>
      <c r="E59" s="400"/>
      <c r="F59" s="400"/>
      <c r="G59" s="400"/>
      <c r="H59" s="400"/>
      <c r="I59" s="400"/>
      <c r="J59" s="401"/>
      <c r="K59" s="294">
        <f>SUM(K51:K58)</f>
        <v>67083100</v>
      </c>
      <c r="L59" s="294">
        <f>SUM(L51:L58)</f>
        <v>23000000</v>
      </c>
      <c r="M59" s="295"/>
    </row>
    <row r="60" spans="1:13" ht="12" customHeight="1" outlineLevel="1" x14ac:dyDescent="0.2">
      <c r="A60" s="164">
        <v>44964</v>
      </c>
      <c r="B60" s="164">
        <v>44966</v>
      </c>
      <c r="C60" s="160" t="s">
        <v>136</v>
      </c>
      <c r="D60" s="176" t="s">
        <v>167</v>
      </c>
      <c r="E60" s="158">
        <v>45118</v>
      </c>
      <c r="F60" s="167" t="s">
        <v>128</v>
      </c>
      <c r="G60" s="167">
        <v>4.8500000000000001E-2</v>
      </c>
      <c r="H60" s="167">
        <v>5.2499999999999998E-2</v>
      </c>
      <c r="I60" s="218">
        <v>4.8809499999999999E-2</v>
      </c>
      <c r="J60" s="218">
        <v>4.9000000000000002E-2</v>
      </c>
      <c r="K60" s="195">
        <v>6456000</v>
      </c>
      <c r="L60" s="219">
        <v>1050000</v>
      </c>
      <c r="M60" s="174">
        <f t="shared" ref="M60:M65" si="11">IF(L60=0,0,K60/L60)</f>
        <v>6.1485714285714286</v>
      </c>
    </row>
    <row r="61" spans="1:13" ht="12.75" customHeight="1" outlineLevel="1" x14ac:dyDescent="0.2">
      <c r="A61" s="164"/>
      <c r="B61" s="158"/>
      <c r="C61" s="160"/>
      <c r="D61" s="176" t="s">
        <v>146</v>
      </c>
      <c r="E61" s="158">
        <v>45884</v>
      </c>
      <c r="F61" s="167">
        <v>5.3749999999999999E-2</v>
      </c>
      <c r="G61" s="167">
        <v>6.3500000000000001E-2</v>
      </c>
      <c r="H61" s="167">
        <v>6.6000000000000003E-2</v>
      </c>
      <c r="I61" s="165">
        <v>6.3258200000000001E-2</v>
      </c>
      <c r="J61" s="159">
        <v>6.4199999999999993E-2</v>
      </c>
      <c r="K61" s="195">
        <v>4756500</v>
      </c>
      <c r="L61" s="196">
        <v>2800000</v>
      </c>
      <c r="M61" s="174">
        <f t="shared" si="11"/>
        <v>1.69875</v>
      </c>
    </row>
    <row r="62" spans="1:13" ht="12.75" customHeight="1" outlineLevel="1" x14ac:dyDescent="0.2">
      <c r="A62" s="156"/>
      <c r="B62" s="156"/>
      <c r="C62" s="156"/>
      <c r="D62" s="176" t="s">
        <v>50</v>
      </c>
      <c r="E62" s="158">
        <v>46402</v>
      </c>
      <c r="F62" s="167">
        <v>0.06</v>
      </c>
      <c r="G62" s="167">
        <v>6.4000000000000001E-2</v>
      </c>
      <c r="H62" s="167">
        <v>6.6900000000000001E-2</v>
      </c>
      <c r="I62" s="165">
        <v>6.4998100000000003E-2</v>
      </c>
      <c r="J62" s="159">
        <v>6.5299999999999997E-2</v>
      </c>
      <c r="K62" s="195">
        <v>5589000</v>
      </c>
      <c r="L62" s="196">
        <v>3500000</v>
      </c>
      <c r="M62" s="174">
        <f t="shared" si="11"/>
        <v>1.5968571428571428</v>
      </c>
    </row>
    <row r="63" spans="1:13" ht="12.75" customHeight="1" outlineLevel="1" x14ac:dyDescent="0.2">
      <c r="A63" s="156"/>
      <c r="B63" s="156"/>
      <c r="C63" s="156"/>
      <c r="D63" s="176" t="s">
        <v>150</v>
      </c>
      <c r="E63" s="158">
        <v>49749</v>
      </c>
      <c r="F63" s="167">
        <v>6.8750000000000006E-2</v>
      </c>
      <c r="G63" s="167">
        <v>7.0499999999999993E-2</v>
      </c>
      <c r="H63" s="167">
        <v>7.2499999999999995E-2</v>
      </c>
      <c r="I63" s="165">
        <v>7.1299899999999999E-2</v>
      </c>
      <c r="J63" s="159">
        <v>7.1800000000000003E-2</v>
      </c>
      <c r="K63" s="195">
        <v>6367400</v>
      </c>
      <c r="L63" s="196">
        <v>4000000</v>
      </c>
      <c r="M63" s="174">
        <f t="shared" si="11"/>
        <v>1.59185</v>
      </c>
    </row>
    <row r="64" spans="1:13" ht="12.75" customHeight="1" outlineLevel="1" x14ac:dyDescent="0.2">
      <c r="A64" s="156"/>
      <c r="B64" s="156"/>
      <c r="C64" s="156"/>
      <c r="D64" s="176" t="s">
        <v>147</v>
      </c>
      <c r="E64" s="158">
        <v>54589</v>
      </c>
      <c r="F64" s="167">
        <v>6.5000000000000002E-2</v>
      </c>
      <c r="G64" s="167">
        <v>7.0999999999999994E-2</v>
      </c>
      <c r="H64" s="167">
        <v>7.2700000000000001E-2</v>
      </c>
      <c r="I64" s="197">
        <v>7.1284500000000001E-2</v>
      </c>
      <c r="J64" s="198">
        <v>7.17E-2</v>
      </c>
      <c r="K64" s="195">
        <v>893000</v>
      </c>
      <c r="L64" s="196">
        <v>550000</v>
      </c>
      <c r="M64" s="174">
        <f t="shared" si="11"/>
        <v>1.6236363636363635</v>
      </c>
    </row>
    <row r="65" spans="1:13" ht="12.75" customHeight="1" outlineLevel="1" x14ac:dyDescent="0.2">
      <c r="A65" s="156"/>
      <c r="B65" s="156"/>
      <c r="C65" s="156"/>
      <c r="D65" s="176" t="s">
        <v>148</v>
      </c>
      <c r="E65" s="158">
        <v>53858</v>
      </c>
      <c r="F65" s="167">
        <v>6.7500000000000004E-2</v>
      </c>
      <c r="G65" s="167">
        <v>7.2499999999999995E-2</v>
      </c>
      <c r="H65" s="167">
        <v>7.4499999999999997E-2</v>
      </c>
      <c r="I65" s="159">
        <v>7.30875E-2</v>
      </c>
      <c r="J65" s="199">
        <v>7.3499999999999996E-2</v>
      </c>
      <c r="K65" s="195">
        <v>2194200</v>
      </c>
      <c r="L65" s="195">
        <v>2100000</v>
      </c>
      <c r="M65" s="174">
        <f t="shared" si="11"/>
        <v>1.0448571428571429</v>
      </c>
    </row>
    <row r="66" spans="1:13" s="1" customFormat="1" ht="12.75" customHeight="1" outlineLevel="1" x14ac:dyDescent="0.2">
      <c r="A66" s="417" t="s">
        <v>121</v>
      </c>
      <c r="B66" s="418"/>
      <c r="C66" s="418"/>
      <c r="D66" s="418"/>
      <c r="E66" s="418"/>
      <c r="F66" s="418"/>
      <c r="G66" s="418"/>
      <c r="H66" s="418"/>
      <c r="I66" s="418"/>
      <c r="J66" s="419"/>
      <c r="K66" s="301">
        <f>SUM(K60:K65)</f>
        <v>26256100</v>
      </c>
      <c r="L66" s="301">
        <f>SUM(L60:L65)</f>
        <v>14000000</v>
      </c>
      <c r="M66" s="179"/>
    </row>
    <row r="67" spans="1:13" ht="12.75" customHeight="1" outlineLevel="1" x14ac:dyDescent="0.2">
      <c r="A67" s="281">
        <v>44970</v>
      </c>
      <c r="B67" s="284">
        <v>44972</v>
      </c>
      <c r="C67" s="296" t="s">
        <v>158</v>
      </c>
      <c r="D67" s="297" t="s">
        <v>169</v>
      </c>
      <c r="E67" s="284">
        <v>45698</v>
      </c>
      <c r="F67" s="285">
        <v>6.1499999999999999E-2</v>
      </c>
      <c r="G67" s="285"/>
      <c r="H67" s="285"/>
      <c r="I67" s="286"/>
      <c r="J67" s="299"/>
      <c r="K67" s="303">
        <v>16732199</v>
      </c>
      <c r="L67" s="303">
        <f>K67</f>
        <v>16732199</v>
      </c>
      <c r="M67" s="300">
        <f>IF(L67=0,0,K67/L67)</f>
        <v>1</v>
      </c>
    </row>
    <row r="68" spans="1:13" ht="12.75" customHeight="1" outlineLevel="1" x14ac:dyDescent="0.2">
      <c r="A68" s="281"/>
      <c r="B68" s="284"/>
      <c r="C68" s="296"/>
      <c r="D68" s="297" t="s">
        <v>170</v>
      </c>
      <c r="E68" s="284">
        <v>46428</v>
      </c>
      <c r="F68" s="285">
        <v>6.3500000000000001E-2</v>
      </c>
      <c r="G68" s="285"/>
      <c r="H68" s="285"/>
      <c r="I68" s="286"/>
      <c r="J68" s="299"/>
      <c r="K68" s="304">
        <v>5452395</v>
      </c>
      <c r="L68" s="304">
        <f>K68</f>
        <v>5452395</v>
      </c>
      <c r="M68" s="300">
        <f>IF(L68=0,0,K68/L68)</f>
        <v>1</v>
      </c>
    </row>
    <row r="69" spans="1:13" ht="12.75" customHeight="1" outlineLevel="1" x14ac:dyDescent="0.2">
      <c r="A69" s="398" t="s">
        <v>121</v>
      </c>
      <c r="B69" s="400"/>
      <c r="C69" s="400"/>
      <c r="D69" s="400"/>
      <c r="E69" s="400"/>
      <c r="F69" s="400"/>
      <c r="G69" s="400"/>
      <c r="H69" s="400"/>
      <c r="I69" s="400"/>
      <c r="J69" s="401"/>
      <c r="K69" s="302">
        <f>K67+K68</f>
        <v>22184594</v>
      </c>
      <c r="L69" s="302">
        <f>L67+L68</f>
        <v>22184594</v>
      </c>
      <c r="M69" s="298"/>
    </row>
    <row r="70" spans="1:13" ht="12.75" customHeight="1" outlineLevel="1" x14ac:dyDescent="0.2">
      <c r="A70" s="281">
        <v>44971</v>
      </c>
      <c r="B70" s="281">
        <v>44973</v>
      </c>
      <c r="C70" s="282" t="s">
        <v>136</v>
      </c>
      <c r="D70" s="283" t="s">
        <v>168</v>
      </c>
      <c r="E70" s="284">
        <v>45063</v>
      </c>
      <c r="F70" s="285" t="s">
        <v>128</v>
      </c>
      <c r="G70" s="285">
        <v>4.4999999999999998E-2</v>
      </c>
      <c r="H70" s="285">
        <v>4.5999999999999999E-2</v>
      </c>
      <c r="I70" s="286">
        <v>4.5199999999999997E-2</v>
      </c>
      <c r="J70" s="286">
        <v>4.5499999999999999E-2</v>
      </c>
      <c r="K70" s="287">
        <v>940000</v>
      </c>
      <c r="L70" s="288">
        <v>900000</v>
      </c>
      <c r="M70" s="290">
        <f>IF(L70=0,0,K70/L70)</f>
        <v>1.0444444444444445</v>
      </c>
    </row>
    <row r="71" spans="1:13" ht="12.75" customHeight="1" outlineLevel="1" x14ac:dyDescent="0.2">
      <c r="A71" s="281"/>
      <c r="B71" s="284"/>
      <c r="C71" s="282"/>
      <c r="D71" s="283" t="s">
        <v>156</v>
      </c>
      <c r="E71" s="284">
        <v>45323</v>
      </c>
      <c r="F71" s="285" t="s">
        <v>128</v>
      </c>
      <c r="G71" s="285">
        <v>5.3499999999999999E-2</v>
      </c>
      <c r="H71" s="285">
        <v>0.06</v>
      </c>
      <c r="I71" s="285">
        <v>5.4704299999999997E-2</v>
      </c>
      <c r="J71" s="286">
        <v>5.5E-2</v>
      </c>
      <c r="K71" s="287">
        <v>6650000</v>
      </c>
      <c r="L71" s="288">
        <v>2000000</v>
      </c>
      <c r="M71" s="290">
        <f t="shared" ref="M71:M76" si="12">IF(L71=0,0,K71/L71)</f>
        <v>3.3250000000000002</v>
      </c>
    </row>
    <row r="72" spans="1:13" ht="12.75" customHeight="1" outlineLevel="1" x14ac:dyDescent="0.2">
      <c r="A72" s="291"/>
      <c r="B72" s="291"/>
      <c r="C72" s="291"/>
      <c r="D72" s="283" t="s">
        <v>139</v>
      </c>
      <c r="E72" s="284">
        <v>46980</v>
      </c>
      <c r="F72" s="285">
        <v>6.3750000000000001E-2</v>
      </c>
      <c r="G72" s="285">
        <v>6.3E-2</v>
      </c>
      <c r="H72" s="285">
        <v>6.5000000000000002E-2</v>
      </c>
      <c r="I72" s="286">
        <v>6.3599500000000003E-2</v>
      </c>
      <c r="J72" s="286">
        <v>6.3700000000000007E-2</v>
      </c>
      <c r="K72" s="287">
        <v>16208100</v>
      </c>
      <c r="L72" s="288">
        <v>4950000</v>
      </c>
      <c r="M72" s="290">
        <f t="shared" si="12"/>
        <v>3.2743636363636361</v>
      </c>
    </row>
    <row r="73" spans="1:13" ht="12.75" customHeight="1" outlineLevel="1" x14ac:dyDescent="0.2">
      <c r="A73" s="291"/>
      <c r="B73" s="291"/>
      <c r="C73" s="291"/>
      <c r="D73" s="283" t="s">
        <v>140</v>
      </c>
      <c r="E73" s="284">
        <v>48625</v>
      </c>
      <c r="F73" s="285">
        <v>7.0000000000000007E-2</v>
      </c>
      <c r="G73" s="285">
        <v>6.6500000000000004E-2</v>
      </c>
      <c r="H73" s="285">
        <v>7.0000000000000007E-2</v>
      </c>
      <c r="I73" s="286">
        <v>6.7179600000000006E-2</v>
      </c>
      <c r="J73" s="286">
        <v>6.7299999999999999E-2</v>
      </c>
      <c r="K73" s="287">
        <v>24352600</v>
      </c>
      <c r="L73" s="288">
        <v>9650000</v>
      </c>
      <c r="M73" s="292">
        <f t="shared" si="12"/>
        <v>2.5235854922279795</v>
      </c>
    </row>
    <row r="74" spans="1:13" ht="12.75" customHeight="1" outlineLevel="1" x14ac:dyDescent="0.2">
      <c r="A74" s="291"/>
      <c r="B74" s="291"/>
      <c r="C74" s="291"/>
      <c r="D74" s="283" t="s">
        <v>142</v>
      </c>
      <c r="E74" s="284">
        <v>50571</v>
      </c>
      <c r="F74" s="285">
        <v>7.1249999999999994E-2</v>
      </c>
      <c r="G74" s="285">
        <v>6.9500000000000006E-2</v>
      </c>
      <c r="H74" s="285">
        <v>7.1999999999999995E-2</v>
      </c>
      <c r="I74" s="286">
        <v>6.9892700000000002E-2</v>
      </c>
      <c r="J74" s="286">
        <v>7.0000000000000007E-2</v>
      </c>
      <c r="K74" s="287">
        <v>3107500</v>
      </c>
      <c r="L74" s="293">
        <v>1150000</v>
      </c>
      <c r="M74" s="292">
        <f t="shared" si="12"/>
        <v>2.7021739130434783</v>
      </c>
    </row>
    <row r="75" spans="1:13" ht="12.75" customHeight="1" outlineLevel="1" x14ac:dyDescent="0.2">
      <c r="A75" s="291"/>
      <c r="B75" s="291"/>
      <c r="C75" s="291"/>
      <c r="D75" s="283" t="s">
        <v>141</v>
      </c>
      <c r="E75" s="284">
        <v>52397</v>
      </c>
      <c r="F75" s="285">
        <v>7.1249999999999994E-2</v>
      </c>
      <c r="G75" s="285">
        <v>6.9900000000000004E-2</v>
      </c>
      <c r="H75" s="285">
        <v>7.2499999999999995E-2</v>
      </c>
      <c r="I75" s="286">
        <v>7.0195499999999994E-2</v>
      </c>
      <c r="J75" s="286">
        <v>7.0300000000000001E-2</v>
      </c>
      <c r="K75" s="287">
        <v>2881100</v>
      </c>
      <c r="L75" s="293">
        <v>800000</v>
      </c>
      <c r="M75" s="292">
        <f t="shared" si="12"/>
        <v>3.601375</v>
      </c>
    </row>
    <row r="76" spans="1:13" ht="12.75" customHeight="1" outlineLevel="1" x14ac:dyDescent="0.2">
      <c r="A76" s="291"/>
      <c r="B76" s="291"/>
      <c r="C76" s="291"/>
      <c r="D76" s="283" t="s">
        <v>137</v>
      </c>
      <c r="E76" s="284">
        <v>55380</v>
      </c>
      <c r="F76" s="285">
        <v>6.8750000000000006E-2</v>
      </c>
      <c r="G76" s="285">
        <v>7.0000000000000007E-2</v>
      </c>
      <c r="H76" s="285">
        <v>7.2999999999999995E-2</v>
      </c>
      <c r="I76" s="286">
        <v>7.0591500000000001E-2</v>
      </c>
      <c r="J76" s="286">
        <v>7.0699999999999999E-2</v>
      </c>
      <c r="K76" s="287">
        <v>1843600</v>
      </c>
      <c r="L76" s="293">
        <v>550000</v>
      </c>
      <c r="M76" s="292">
        <f t="shared" si="12"/>
        <v>3.3519999999999999</v>
      </c>
    </row>
    <row r="77" spans="1:13" s="1" customFormat="1" ht="12.75" customHeight="1" outlineLevel="1" x14ac:dyDescent="0.2">
      <c r="A77" s="398" t="s">
        <v>121</v>
      </c>
      <c r="B77" s="400"/>
      <c r="C77" s="400"/>
      <c r="D77" s="400"/>
      <c r="E77" s="400"/>
      <c r="F77" s="400"/>
      <c r="G77" s="400"/>
      <c r="H77" s="400"/>
      <c r="I77" s="400"/>
      <c r="J77" s="401"/>
      <c r="K77" s="294">
        <f>SUM(K70:K76)</f>
        <v>55982900</v>
      </c>
      <c r="L77" s="294">
        <f>SUM(L70:L76)</f>
        <v>20000000</v>
      </c>
      <c r="M77" s="295"/>
    </row>
    <row r="78" spans="1:13" ht="12" customHeight="1" outlineLevel="1" x14ac:dyDescent="0.2">
      <c r="A78" s="164">
        <v>44978</v>
      </c>
      <c r="B78" s="164">
        <v>44980</v>
      </c>
      <c r="C78" s="160" t="s">
        <v>136</v>
      </c>
      <c r="D78" s="176" t="s">
        <v>167</v>
      </c>
      <c r="E78" s="158">
        <v>45118</v>
      </c>
      <c r="F78" s="167" t="s">
        <v>128</v>
      </c>
      <c r="G78" s="167">
        <v>4.8599999999999997E-2</v>
      </c>
      <c r="H78" s="167">
        <v>5.0099999999999999E-2</v>
      </c>
      <c r="I78" s="218">
        <v>4.8680000000000001E-2</v>
      </c>
      <c r="J78" s="218">
        <v>4.8800000000000003E-2</v>
      </c>
      <c r="K78" s="195">
        <v>4970000</v>
      </c>
      <c r="L78" s="219">
        <v>500000</v>
      </c>
      <c r="M78" s="174">
        <f t="shared" ref="M78:M85" si="13">IF(L78=0,0,K78/L78)</f>
        <v>9.94</v>
      </c>
    </row>
    <row r="79" spans="1:13" ht="12.75" customHeight="1" outlineLevel="1" x14ac:dyDescent="0.2">
      <c r="A79" s="164"/>
      <c r="B79" s="158"/>
      <c r="C79" s="160"/>
      <c r="D79" s="176" t="s">
        <v>146</v>
      </c>
      <c r="E79" s="158">
        <v>45884</v>
      </c>
      <c r="F79" s="167">
        <v>5.3749999999999999E-2</v>
      </c>
      <c r="G79" s="167">
        <v>6.2600000000000003E-2</v>
      </c>
      <c r="H79" s="167">
        <v>6.54E-2</v>
      </c>
      <c r="I79" s="165">
        <v>6.2898300000000004E-2</v>
      </c>
      <c r="J79" s="159">
        <v>6.2899999999999998E-2</v>
      </c>
      <c r="K79" s="195">
        <v>8108500</v>
      </c>
      <c r="L79" s="196">
        <v>3600000</v>
      </c>
      <c r="M79" s="174">
        <f t="shared" si="13"/>
        <v>2.252361111111111</v>
      </c>
    </row>
    <row r="80" spans="1:13" ht="12.75" customHeight="1" outlineLevel="1" x14ac:dyDescent="0.2">
      <c r="A80" s="156"/>
      <c r="B80" s="156"/>
      <c r="C80" s="156"/>
      <c r="D80" s="176" t="s">
        <v>50</v>
      </c>
      <c r="E80" s="158">
        <v>46402</v>
      </c>
      <c r="F80" s="167">
        <v>0.06</v>
      </c>
      <c r="G80" s="167">
        <v>6.3500000000000001E-2</v>
      </c>
      <c r="H80" s="167">
        <v>7.4200000000000002E-2</v>
      </c>
      <c r="I80" s="165">
        <v>6.4016199999999995E-2</v>
      </c>
      <c r="J80" s="159">
        <v>6.4100000000000004E-2</v>
      </c>
      <c r="K80" s="195">
        <v>4953500</v>
      </c>
      <c r="L80" s="196">
        <v>1700000</v>
      </c>
      <c r="M80" s="174">
        <f t="shared" si="13"/>
        <v>2.9138235294117649</v>
      </c>
    </row>
    <row r="81" spans="1:13" ht="12.75" customHeight="1" outlineLevel="1" x14ac:dyDescent="0.2">
      <c r="A81" s="156"/>
      <c r="B81" s="156"/>
      <c r="C81" s="156"/>
      <c r="D81" s="2" t="s">
        <v>153</v>
      </c>
      <c r="E81" s="158">
        <v>47376</v>
      </c>
      <c r="F81" s="167">
        <v>6.6250000000000003E-2</v>
      </c>
      <c r="G81" s="167">
        <v>6.5100000000000005E-2</v>
      </c>
      <c r="H81" s="167">
        <v>6.7500000000000004E-2</v>
      </c>
      <c r="I81" s="165">
        <v>6.5759860000000003E-2</v>
      </c>
      <c r="J81" s="159">
        <v>6.6199999999999995E-2</v>
      </c>
      <c r="K81" s="195">
        <v>2402000</v>
      </c>
      <c r="L81" s="196">
        <v>1250000</v>
      </c>
      <c r="M81" s="174">
        <f t="shared" si="13"/>
        <v>1.9216</v>
      </c>
    </row>
    <row r="82" spans="1:13" ht="12.75" customHeight="1" outlineLevel="1" x14ac:dyDescent="0.2">
      <c r="A82" s="156"/>
      <c r="B82" s="156"/>
      <c r="C82" s="156"/>
      <c r="D82" s="176" t="s">
        <v>150</v>
      </c>
      <c r="E82" s="158">
        <v>49749</v>
      </c>
      <c r="F82" s="167">
        <v>6.8750000000000006E-2</v>
      </c>
      <c r="G82" s="167">
        <v>7.0499999999999993E-2</v>
      </c>
      <c r="H82" s="167">
        <v>7.2400000000000006E-2</v>
      </c>
      <c r="I82" s="197">
        <v>7.1199899999999997E-2</v>
      </c>
      <c r="J82" s="198">
        <v>7.1400000000000005E-2</v>
      </c>
      <c r="K82" s="195">
        <v>5593000</v>
      </c>
      <c r="L82" s="196">
        <v>3650000</v>
      </c>
      <c r="M82" s="174">
        <f t="shared" si="13"/>
        <v>1.5323287671232877</v>
      </c>
    </row>
    <row r="83" spans="1:13" ht="12.75" customHeight="1" outlineLevel="1" x14ac:dyDescent="0.2">
      <c r="A83" s="156"/>
      <c r="B83" s="156"/>
      <c r="C83" s="156"/>
      <c r="D83" s="176" t="s">
        <v>148</v>
      </c>
      <c r="E83" s="158">
        <v>53858</v>
      </c>
      <c r="F83" s="167">
        <v>6.7500000000000004E-2</v>
      </c>
      <c r="G83" s="167">
        <v>7.2099999999999997E-2</v>
      </c>
      <c r="H83" s="167">
        <v>7.3599999999999999E-2</v>
      </c>
      <c r="I83" s="159">
        <v>7.2596900000000006E-2</v>
      </c>
      <c r="J83" s="199">
        <v>7.2700000000000001E-2</v>
      </c>
      <c r="K83" s="195">
        <v>4419600</v>
      </c>
      <c r="L83" s="195">
        <v>1300000</v>
      </c>
      <c r="M83" s="174">
        <f t="shared" si="13"/>
        <v>3.3996923076923076</v>
      </c>
    </row>
    <row r="84" spans="1:13" s="1" customFormat="1" ht="12.75" customHeight="1" outlineLevel="1" x14ac:dyDescent="0.2">
      <c r="A84" s="417" t="s">
        <v>121</v>
      </c>
      <c r="B84" s="418"/>
      <c r="C84" s="418"/>
      <c r="D84" s="418"/>
      <c r="E84" s="418"/>
      <c r="F84" s="418"/>
      <c r="G84" s="418"/>
      <c r="H84" s="418"/>
      <c r="I84" s="418"/>
      <c r="J84" s="419"/>
      <c r="K84" s="200">
        <f>SUM(K78:K83)</f>
        <v>30446600</v>
      </c>
      <c r="L84" s="200">
        <f>SUM(L78:L83)</f>
        <v>12000000</v>
      </c>
      <c r="M84" s="179"/>
    </row>
    <row r="85" spans="1:13" ht="12.75" customHeight="1" outlineLevel="1" x14ac:dyDescent="0.2">
      <c r="A85" s="164">
        <v>44980</v>
      </c>
      <c r="B85" s="158">
        <v>44985</v>
      </c>
      <c r="C85" s="181" t="s">
        <v>138</v>
      </c>
      <c r="D85" s="201" t="s">
        <v>175</v>
      </c>
      <c r="E85" s="158">
        <v>51940</v>
      </c>
      <c r="F85" s="167">
        <v>6.1499999999999999E-2</v>
      </c>
      <c r="G85" s="167"/>
      <c r="H85" s="167"/>
      <c r="I85" s="165"/>
      <c r="J85" s="165"/>
      <c r="K85" s="202">
        <v>156522</v>
      </c>
      <c r="L85" s="202">
        <v>156522</v>
      </c>
      <c r="M85" s="174">
        <f t="shared" si="13"/>
        <v>1</v>
      </c>
    </row>
    <row r="86" spans="1:13" ht="12.75" customHeight="1" outlineLevel="1" x14ac:dyDescent="0.2">
      <c r="A86" s="420" t="s">
        <v>121</v>
      </c>
      <c r="B86" s="421"/>
      <c r="C86" s="421"/>
      <c r="D86" s="421"/>
      <c r="E86" s="421"/>
      <c r="F86" s="421"/>
      <c r="G86" s="421"/>
      <c r="H86" s="421"/>
      <c r="I86" s="421"/>
      <c r="J86" s="422"/>
      <c r="K86" s="178">
        <f>SUM(K85)</f>
        <v>156522</v>
      </c>
      <c r="L86" s="178">
        <f>SUM(L85)</f>
        <v>156522</v>
      </c>
      <c r="M86" s="203"/>
    </row>
    <row r="87" spans="1:13" ht="12.75" customHeight="1" x14ac:dyDescent="0.2">
      <c r="A87" s="402" t="s">
        <v>154</v>
      </c>
      <c r="B87" s="403"/>
      <c r="C87" s="403"/>
      <c r="D87" s="403"/>
      <c r="E87" s="403"/>
      <c r="F87" s="403"/>
      <c r="G87" s="403"/>
      <c r="H87" s="403"/>
      <c r="I87" s="403"/>
      <c r="J87" s="404"/>
      <c r="K87" s="177">
        <f>SUM(K59,K66,K69,K77,K84,K86)</f>
        <v>202109816</v>
      </c>
      <c r="L87" s="177">
        <f>SUM(L59,L66,L69,L77,L84,L86)</f>
        <v>91341116</v>
      </c>
      <c r="M87" s="166"/>
    </row>
    <row r="88" spans="1:13" ht="12.75" customHeight="1" x14ac:dyDescent="0.2">
      <c r="A88" s="402" t="s">
        <v>249</v>
      </c>
      <c r="B88" s="403"/>
      <c r="C88" s="403"/>
      <c r="D88" s="403"/>
      <c r="E88" s="403"/>
      <c r="F88" s="403"/>
      <c r="G88" s="403"/>
      <c r="H88" s="403"/>
      <c r="I88" s="403"/>
      <c r="J88" s="404"/>
      <c r="K88" s="177">
        <f>K50+K87</f>
        <v>384328836.09200001</v>
      </c>
      <c r="L88" s="177">
        <f>L50+L87</f>
        <v>210404036.09200001</v>
      </c>
      <c r="M88" s="166"/>
    </row>
    <row r="89" spans="1:13" ht="12.75" customHeight="1" outlineLevel="1" x14ac:dyDescent="0.2">
      <c r="A89" s="281">
        <v>44985</v>
      </c>
      <c r="B89" s="281">
        <v>44987</v>
      </c>
      <c r="C89" s="282" t="s">
        <v>136</v>
      </c>
      <c r="D89" s="283" t="s">
        <v>172</v>
      </c>
      <c r="E89" s="284">
        <v>45077</v>
      </c>
      <c r="F89" s="285" t="s">
        <v>128</v>
      </c>
      <c r="G89" s="285">
        <v>4.4900000000000002E-2</v>
      </c>
      <c r="H89" s="285">
        <v>4.6100000000000002E-2</v>
      </c>
      <c r="I89" s="286">
        <v>4.5187499999999999E-2</v>
      </c>
      <c r="J89" s="286">
        <v>4.58E-2</v>
      </c>
      <c r="K89" s="287">
        <v>600000</v>
      </c>
      <c r="L89" s="288">
        <v>550000</v>
      </c>
      <c r="M89" s="289">
        <f>IF(L89=0,0,K89/L89)</f>
        <v>1.0909090909090908</v>
      </c>
    </row>
    <row r="90" spans="1:13" ht="12.75" customHeight="1" outlineLevel="1" x14ac:dyDescent="0.2">
      <c r="A90" s="281"/>
      <c r="B90" s="284"/>
      <c r="C90" s="282"/>
      <c r="D90" s="283" t="s">
        <v>173</v>
      </c>
      <c r="E90" s="284">
        <v>45351</v>
      </c>
      <c r="F90" s="285" t="s">
        <v>128</v>
      </c>
      <c r="G90" s="285">
        <v>5.45E-2</v>
      </c>
      <c r="H90" s="285">
        <v>5.6500000000000002E-2</v>
      </c>
      <c r="I90" s="285">
        <v>5.5E-2</v>
      </c>
      <c r="J90" s="286">
        <v>5.5500000000000001E-2</v>
      </c>
      <c r="K90" s="287">
        <v>8000000</v>
      </c>
      <c r="L90" s="288">
        <v>2350000</v>
      </c>
      <c r="M90" s="290">
        <f t="shared" ref="M90:M95" si="14">IF(L90=0,0,K90/L90)</f>
        <v>3.4042553191489362</v>
      </c>
    </row>
    <row r="91" spans="1:13" ht="12.75" customHeight="1" outlineLevel="1" x14ac:dyDescent="0.2">
      <c r="A91" s="291"/>
      <c r="B91" s="291"/>
      <c r="C91" s="291"/>
      <c r="D91" s="283" t="s">
        <v>139</v>
      </c>
      <c r="E91" s="284">
        <v>46980</v>
      </c>
      <c r="F91" s="285">
        <v>6.3750000000000001E-2</v>
      </c>
      <c r="G91" s="285">
        <v>6.5000000000000002E-2</v>
      </c>
      <c r="H91" s="285">
        <v>6.7000000000000004E-2</v>
      </c>
      <c r="I91" s="286">
        <v>6.5456600000000004E-2</v>
      </c>
      <c r="J91" s="286">
        <v>6.5600000000000006E-2</v>
      </c>
      <c r="K91" s="287">
        <v>10480500</v>
      </c>
      <c r="L91" s="288">
        <v>4150000</v>
      </c>
      <c r="M91" s="290">
        <f t="shared" si="14"/>
        <v>2.5254216867469879</v>
      </c>
    </row>
    <row r="92" spans="1:13" ht="12.75" customHeight="1" outlineLevel="1" x14ac:dyDescent="0.2">
      <c r="A92" s="291"/>
      <c r="B92" s="291"/>
      <c r="C92" s="291"/>
      <c r="D92" s="283" t="s">
        <v>140</v>
      </c>
      <c r="E92" s="284">
        <v>48625</v>
      </c>
      <c r="F92" s="285">
        <v>7.0000000000000007E-2</v>
      </c>
      <c r="G92" s="285">
        <v>6.8099999999999994E-2</v>
      </c>
      <c r="H92" s="285">
        <v>7.0000000000000007E-2</v>
      </c>
      <c r="I92" s="286">
        <v>6.8599900000000005E-2</v>
      </c>
      <c r="J92" s="286">
        <v>6.88E-2</v>
      </c>
      <c r="K92" s="287">
        <v>15207300</v>
      </c>
      <c r="L92" s="288">
        <v>8250000</v>
      </c>
      <c r="M92" s="292">
        <f t="shared" si="14"/>
        <v>1.843309090909091</v>
      </c>
    </row>
    <row r="93" spans="1:13" ht="12.75" customHeight="1" outlineLevel="1" x14ac:dyDescent="0.2">
      <c r="A93" s="291"/>
      <c r="B93" s="291"/>
      <c r="C93" s="291"/>
      <c r="D93" s="283" t="s">
        <v>142</v>
      </c>
      <c r="E93" s="284">
        <v>50571</v>
      </c>
      <c r="F93" s="285">
        <v>7.1249999999999994E-2</v>
      </c>
      <c r="G93" s="285">
        <v>7.0699999999999999E-2</v>
      </c>
      <c r="H93" s="285">
        <v>7.2499999999999995E-2</v>
      </c>
      <c r="I93" s="286">
        <v>7.1189299999999997E-2</v>
      </c>
      <c r="J93" s="286">
        <v>7.1300000000000002E-2</v>
      </c>
      <c r="K93" s="287">
        <v>6343800</v>
      </c>
      <c r="L93" s="293">
        <v>2300000</v>
      </c>
      <c r="M93" s="292">
        <f t="shared" si="14"/>
        <v>2.7581739130434784</v>
      </c>
    </row>
    <row r="94" spans="1:13" ht="12.75" customHeight="1" outlineLevel="1" x14ac:dyDescent="0.2">
      <c r="A94" s="291"/>
      <c r="B94" s="291"/>
      <c r="C94" s="291"/>
      <c r="D94" s="283" t="s">
        <v>141</v>
      </c>
      <c r="E94" s="284">
        <v>52397</v>
      </c>
      <c r="F94" s="285">
        <v>7.1249999999999994E-2</v>
      </c>
      <c r="G94" s="285">
        <v>7.0699999999999999E-2</v>
      </c>
      <c r="H94" s="285">
        <v>7.2999999999999995E-2</v>
      </c>
      <c r="I94" s="286">
        <v>7.1393799999999993E-2</v>
      </c>
      <c r="J94" s="286">
        <v>7.1599999999999997E-2</v>
      </c>
      <c r="K94" s="287">
        <v>3521100</v>
      </c>
      <c r="L94" s="293">
        <v>1350000</v>
      </c>
      <c r="M94" s="292">
        <f t="shared" si="14"/>
        <v>2.6082222222222224</v>
      </c>
    </row>
    <row r="95" spans="1:13" ht="12.75" customHeight="1" outlineLevel="1" x14ac:dyDescent="0.2">
      <c r="A95" s="291"/>
      <c r="B95" s="291"/>
      <c r="C95" s="291"/>
      <c r="D95" s="283" t="s">
        <v>137</v>
      </c>
      <c r="E95" s="284">
        <v>55380</v>
      </c>
      <c r="F95" s="285">
        <v>6.8750000000000006E-2</v>
      </c>
      <c r="G95" s="285">
        <v>7.0400000000000004E-2</v>
      </c>
      <c r="H95" s="285">
        <v>7.2800000000000004E-2</v>
      </c>
      <c r="I95" s="286">
        <v>7.1182999999999996E-2</v>
      </c>
      <c r="J95" s="286">
        <v>7.1499999999999994E-2</v>
      </c>
      <c r="K95" s="287">
        <v>1821700</v>
      </c>
      <c r="L95" s="293">
        <v>1050000</v>
      </c>
      <c r="M95" s="292">
        <f t="shared" si="14"/>
        <v>1.734952380952381</v>
      </c>
    </row>
    <row r="96" spans="1:13" s="1" customFormat="1" ht="12.75" customHeight="1" outlineLevel="1" x14ac:dyDescent="0.2">
      <c r="A96" s="398" t="s">
        <v>121</v>
      </c>
      <c r="B96" s="400"/>
      <c r="C96" s="400"/>
      <c r="D96" s="400"/>
      <c r="E96" s="400"/>
      <c r="F96" s="400"/>
      <c r="G96" s="400"/>
      <c r="H96" s="400"/>
      <c r="I96" s="400"/>
      <c r="J96" s="401"/>
      <c r="K96" s="294">
        <f>SUM(K89:K95)</f>
        <v>45974400</v>
      </c>
      <c r="L96" s="294">
        <f>SUM(L89:L95)</f>
        <v>20000000</v>
      </c>
      <c r="M96" s="295"/>
    </row>
    <row r="97" spans="1:15" ht="12" customHeight="1" outlineLevel="1" x14ac:dyDescent="0.2">
      <c r="A97" s="164">
        <v>44992</v>
      </c>
      <c r="B97" s="164">
        <v>44994</v>
      </c>
      <c r="C97" s="160" t="s">
        <v>136</v>
      </c>
      <c r="D97" s="176" t="s">
        <v>174</v>
      </c>
      <c r="E97" s="158">
        <v>45118</v>
      </c>
      <c r="F97" s="167" t="s">
        <v>128</v>
      </c>
      <c r="G97" s="167">
        <v>4.87E-2</v>
      </c>
      <c r="H97" s="167">
        <v>4.9500000000000002E-2</v>
      </c>
      <c r="I97" s="218">
        <v>4.8721599999999997E-2</v>
      </c>
      <c r="J97" s="218">
        <v>4.8800000000000003E-2</v>
      </c>
      <c r="K97" s="195">
        <v>3500000</v>
      </c>
      <c r="L97" s="219">
        <v>510000</v>
      </c>
      <c r="M97" s="174">
        <f t="shared" ref="M97:M102" si="15">IF(L97=0,0,K97/L97)</f>
        <v>6.8627450980392153</v>
      </c>
    </row>
    <row r="98" spans="1:15" ht="12.75" customHeight="1" outlineLevel="1" x14ac:dyDescent="0.2">
      <c r="A98" s="164"/>
      <c r="B98" s="158"/>
      <c r="C98" s="160"/>
      <c r="D98" s="176" t="s">
        <v>146</v>
      </c>
      <c r="E98" s="158">
        <v>45884</v>
      </c>
      <c r="F98" s="167">
        <v>5.3749999999999999E-2</v>
      </c>
      <c r="G98" s="167">
        <v>6.3799999999999996E-2</v>
      </c>
      <c r="H98" s="167">
        <v>6.7500000000000004E-2</v>
      </c>
      <c r="I98" s="165">
        <v>6.3997700000000005E-2</v>
      </c>
      <c r="J98" s="159">
        <v>6.4000000000000001E-2</v>
      </c>
      <c r="K98" s="195">
        <v>9326000</v>
      </c>
      <c r="L98" s="196">
        <v>7050000</v>
      </c>
      <c r="M98" s="174">
        <f t="shared" si="15"/>
        <v>1.3228368794326242</v>
      </c>
    </row>
    <row r="99" spans="1:15" ht="12.75" customHeight="1" outlineLevel="1" x14ac:dyDescent="0.2">
      <c r="A99" s="156"/>
      <c r="B99" s="156"/>
      <c r="C99" s="156"/>
      <c r="D99" s="176" t="s">
        <v>50</v>
      </c>
      <c r="E99" s="158">
        <v>46402</v>
      </c>
      <c r="F99" s="167">
        <v>0.06</v>
      </c>
      <c r="G99" s="167">
        <v>6.3600000000000004E-2</v>
      </c>
      <c r="H99" s="167">
        <v>6.6299999999999998E-2</v>
      </c>
      <c r="I99" s="165">
        <v>6.5086900000000003E-2</v>
      </c>
      <c r="J99" s="159">
        <v>6.5600000000000006E-2</v>
      </c>
      <c r="K99" s="195">
        <v>1480500</v>
      </c>
      <c r="L99" s="196">
        <v>850000</v>
      </c>
      <c r="M99" s="174">
        <f t="shared" si="15"/>
        <v>1.7417647058823529</v>
      </c>
    </row>
    <row r="100" spans="1:15" ht="12.75" customHeight="1" outlineLevel="1" x14ac:dyDescent="0.2">
      <c r="A100" s="156"/>
      <c r="B100" s="156"/>
      <c r="C100" s="156"/>
      <c r="D100" s="176" t="s">
        <v>150</v>
      </c>
      <c r="E100" s="158">
        <v>49749</v>
      </c>
      <c r="F100" s="167">
        <v>6.8750000000000006E-2</v>
      </c>
      <c r="G100" s="167">
        <v>7.0499999999999993E-2</v>
      </c>
      <c r="H100" s="167">
        <v>7.2999999999999995E-2</v>
      </c>
      <c r="I100" s="165">
        <v>7.1299299999999996E-2</v>
      </c>
      <c r="J100" s="159">
        <v>7.1499999999999994E-2</v>
      </c>
      <c r="K100" s="195">
        <v>1329000</v>
      </c>
      <c r="L100" s="196">
        <v>990000</v>
      </c>
      <c r="M100" s="174">
        <f t="shared" si="15"/>
        <v>1.3424242424242425</v>
      </c>
    </row>
    <row r="101" spans="1:15" ht="12.75" customHeight="1" outlineLevel="1" x14ac:dyDescent="0.2">
      <c r="A101" s="156"/>
      <c r="B101" s="156"/>
      <c r="C101" s="156"/>
      <c r="D101" s="176" t="s">
        <v>147</v>
      </c>
      <c r="E101" s="158">
        <v>54589</v>
      </c>
      <c r="F101" s="167">
        <v>6.5000000000000002E-2</v>
      </c>
      <c r="G101" s="167">
        <v>7.0999999999999994E-2</v>
      </c>
      <c r="H101" s="167">
        <v>7.3300000000000004E-2</v>
      </c>
      <c r="I101" s="197">
        <v>7.1199999999999999E-2</v>
      </c>
      <c r="J101" s="198">
        <v>7.1400000000000005E-2</v>
      </c>
      <c r="K101" s="195">
        <v>743500</v>
      </c>
      <c r="L101" s="196">
        <v>250000</v>
      </c>
      <c r="M101" s="174">
        <f t="shared" si="15"/>
        <v>2.9740000000000002</v>
      </c>
    </row>
    <row r="102" spans="1:15" ht="12.75" customHeight="1" outlineLevel="1" x14ac:dyDescent="0.2">
      <c r="A102" s="156"/>
      <c r="B102" s="156"/>
      <c r="C102" s="156"/>
      <c r="D102" s="176" t="s">
        <v>148</v>
      </c>
      <c r="E102" s="158">
        <v>53858</v>
      </c>
      <c r="F102" s="167">
        <v>6.7500000000000004E-2</v>
      </c>
      <c r="G102" s="167">
        <v>7.1599999999999997E-2</v>
      </c>
      <c r="H102" s="167">
        <v>7.3300000000000004E-2</v>
      </c>
      <c r="I102" s="159">
        <v>7.2298100000000004E-2</v>
      </c>
      <c r="J102" s="199">
        <v>7.2400000000000006E-2</v>
      </c>
      <c r="K102" s="195">
        <v>3585500</v>
      </c>
      <c r="L102" s="195">
        <v>1350000</v>
      </c>
      <c r="M102" s="174">
        <f t="shared" si="15"/>
        <v>2.655925925925926</v>
      </c>
    </row>
    <row r="103" spans="1:15" s="1" customFormat="1" ht="12.75" customHeight="1" outlineLevel="1" x14ac:dyDescent="0.2">
      <c r="A103" s="417" t="s">
        <v>121</v>
      </c>
      <c r="B103" s="418"/>
      <c r="C103" s="418"/>
      <c r="D103" s="418"/>
      <c r="E103" s="418"/>
      <c r="F103" s="418"/>
      <c r="G103" s="418"/>
      <c r="H103" s="418"/>
      <c r="I103" s="418"/>
      <c r="J103" s="419"/>
      <c r="K103" s="200">
        <f>SUM(K97:K102)</f>
        <v>19964500</v>
      </c>
      <c r="L103" s="200">
        <f>SUM(L97:L102)</f>
        <v>11000000</v>
      </c>
      <c r="M103" s="179"/>
    </row>
    <row r="104" spans="1:15" ht="12.75" customHeight="1" outlineLevel="1" x14ac:dyDescent="0.2">
      <c r="A104" s="281">
        <v>44999</v>
      </c>
      <c r="B104" s="281">
        <v>45001</v>
      </c>
      <c r="C104" s="282" t="s">
        <v>136</v>
      </c>
      <c r="D104" s="283" t="s">
        <v>176</v>
      </c>
      <c r="E104" s="284">
        <v>45091</v>
      </c>
      <c r="F104" s="285" t="s">
        <v>128</v>
      </c>
      <c r="G104" s="285">
        <v>4.3999999999999997E-2</v>
      </c>
      <c r="H104" s="285">
        <v>0.05</v>
      </c>
      <c r="I104" s="286">
        <v>4.4283299999999998E-2</v>
      </c>
      <c r="J104" s="286">
        <v>4.4699999999999997E-2</v>
      </c>
      <c r="K104" s="287">
        <v>1250000</v>
      </c>
      <c r="L104" s="288">
        <v>1000000</v>
      </c>
      <c r="M104" s="289">
        <f>IF(L104=0,0,K104/L104)</f>
        <v>1.25</v>
      </c>
    </row>
    <row r="105" spans="1:15" ht="12.75" customHeight="1" outlineLevel="1" x14ac:dyDescent="0.2">
      <c r="A105" s="281"/>
      <c r="B105" s="284"/>
      <c r="C105" s="282"/>
      <c r="D105" s="283" t="s">
        <v>173</v>
      </c>
      <c r="E105" s="284">
        <v>45351</v>
      </c>
      <c r="F105" s="285" t="s">
        <v>128</v>
      </c>
      <c r="G105" s="285">
        <v>5.3999999999999999E-2</v>
      </c>
      <c r="H105" s="285">
        <v>5.6399999999999999E-2</v>
      </c>
      <c r="I105" s="285">
        <v>5.4803299999999999E-2</v>
      </c>
      <c r="J105" s="286">
        <v>5.5100000000000003E-2</v>
      </c>
      <c r="K105" s="287">
        <v>10150000</v>
      </c>
      <c r="L105" s="288">
        <v>2000000</v>
      </c>
      <c r="M105" s="290">
        <f t="shared" ref="M105:M110" si="16">IF(L105=0,0,K105/L105)</f>
        <v>5.0750000000000002</v>
      </c>
    </row>
    <row r="106" spans="1:15" ht="12.75" customHeight="1" outlineLevel="1" x14ac:dyDescent="0.2">
      <c r="A106" s="291"/>
      <c r="B106" s="291"/>
      <c r="C106" s="291"/>
      <c r="D106" s="283" t="s">
        <v>139</v>
      </c>
      <c r="E106" s="284">
        <v>46980</v>
      </c>
      <c r="F106" s="285">
        <v>6.3750000000000001E-2</v>
      </c>
      <c r="G106" s="285">
        <v>6.3100000000000003E-2</v>
      </c>
      <c r="H106" s="285">
        <v>6.5500000000000003E-2</v>
      </c>
      <c r="I106" s="286">
        <v>6.3391299999999998E-2</v>
      </c>
      <c r="J106" s="286">
        <v>6.3600000000000004E-2</v>
      </c>
      <c r="K106" s="287">
        <v>11519000</v>
      </c>
      <c r="L106" s="288">
        <v>5200000</v>
      </c>
      <c r="M106" s="290">
        <f t="shared" si="16"/>
        <v>2.2151923076923077</v>
      </c>
    </row>
    <row r="107" spans="1:15" ht="12.75" customHeight="1" outlineLevel="1" x14ac:dyDescent="0.2">
      <c r="A107" s="291"/>
      <c r="B107" s="291"/>
      <c r="C107" s="291"/>
      <c r="D107" s="283" t="s">
        <v>140</v>
      </c>
      <c r="E107" s="284">
        <v>48625</v>
      </c>
      <c r="F107" s="285">
        <v>7.0000000000000007E-2</v>
      </c>
      <c r="G107" s="285">
        <v>6.6799999999999998E-2</v>
      </c>
      <c r="H107" s="285">
        <v>7.0499999999999993E-2</v>
      </c>
      <c r="I107" s="286">
        <v>6.7064399999999996E-2</v>
      </c>
      <c r="J107" s="286">
        <v>6.7199999999999996E-2</v>
      </c>
      <c r="K107" s="287">
        <v>22432000</v>
      </c>
      <c r="L107" s="288">
        <v>7800000</v>
      </c>
      <c r="M107" s="292">
        <f t="shared" si="16"/>
        <v>2.8758974358974361</v>
      </c>
    </row>
    <row r="108" spans="1:15" ht="12.75" customHeight="1" outlineLevel="1" x14ac:dyDescent="0.2">
      <c r="A108" s="291"/>
      <c r="B108" s="291"/>
      <c r="C108" s="291"/>
      <c r="D108" s="283" t="s">
        <v>142</v>
      </c>
      <c r="E108" s="284">
        <v>50571</v>
      </c>
      <c r="F108" s="285">
        <v>7.1249999999999994E-2</v>
      </c>
      <c r="G108" s="285">
        <v>6.9099999999999995E-2</v>
      </c>
      <c r="H108" s="285">
        <v>7.2999999999999995E-2</v>
      </c>
      <c r="I108" s="286">
        <v>6.9469699999999995E-2</v>
      </c>
      <c r="J108" s="286">
        <v>6.9800000000000001E-2</v>
      </c>
      <c r="K108" s="287">
        <v>3531900</v>
      </c>
      <c r="L108" s="293">
        <v>2400000</v>
      </c>
      <c r="M108" s="292">
        <f t="shared" si="16"/>
        <v>1.471625</v>
      </c>
    </row>
    <row r="109" spans="1:15" ht="12.75" customHeight="1" outlineLevel="1" x14ac:dyDescent="0.2">
      <c r="A109" s="291"/>
      <c r="B109" s="291"/>
      <c r="C109" s="291"/>
      <c r="D109" s="283" t="s">
        <v>141</v>
      </c>
      <c r="E109" s="284">
        <v>52397</v>
      </c>
      <c r="F109" s="285">
        <v>7.1249999999999994E-2</v>
      </c>
      <c r="G109" s="285">
        <v>6.9599999999999995E-2</v>
      </c>
      <c r="H109" s="285">
        <v>7.2999999999999995E-2</v>
      </c>
      <c r="I109" s="286">
        <v>6.9863499999999995E-2</v>
      </c>
      <c r="J109" s="286">
        <v>7.0199999999999999E-2</v>
      </c>
      <c r="K109" s="287">
        <v>2994100</v>
      </c>
      <c r="L109" s="293">
        <v>1350000</v>
      </c>
      <c r="M109" s="292">
        <f t="shared" si="16"/>
        <v>2.2178518518518517</v>
      </c>
    </row>
    <row r="110" spans="1:15" ht="12.75" customHeight="1" outlineLevel="1" x14ac:dyDescent="0.2">
      <c r="A110" s="291"/>
      <c r="B110" s="291"/>
      <c r="C110" s="291"/>
      <c r="D110" s="283" t="s">
        <v>137</v>
      </c>
      <c r="E110" s="284">
        <v>55380</v>
      </c>
      <c r="F110" s="285">
        <v>6.8750000000000006E-2</v>
      </c>
      <c r="G110" s="285">
        <v>7.0300000000000001E-2</v>
      </c>
      <c r="H110" s="285">
        <v>7.1599999999999997E-2</v>
      </c>
      <c r="I110" s="286">
        <v>7.0563699999999993E-2</v>
      </c>
      <c r="J110" s="286">
        <v>7.0699999999999999E-2</v>
      </c>
      <c r="K110" s="287">
        <v>784700</v>
      </c>
      <c r="L110" s="293">
        <v>250000</v>
      </c>
      <c r="M110" s="292">
        <f t="shared" si="16"/>
        <v>3.1387999999999998</v>
      </c>
    </row>
    <row r="111" spans="1:15" s="1" customFormat="1" ht="12.75" customHeight="1" outlineLevel="1" x14ac:dyDescent="0.2">
      <c r="A111" s="398" t="s">
        <v>121</v>
      </c>
      <c r="B111" s="400"/>
      <c r="C111" s="400"/>
      <c r="D111" s="400"/>
      <c r="E111" s="400"/>
      <c r="F111" s="400"/>
      <c r="G111" s="400"/>
      <c r="H111" s="400"/>
      <c r="I111" s="400"/>
      <c r="J111" s="401"/>
      <c r="K111" s="294">
        <f>SUM(K104:K110)</f>
        <v>52661700</v>
      </c>
      <c r="L111" s="294">
        <f>SUM(L104:L110)</f>
        <v>20000000</v>
      </c>
      <c r="M111" s="295"/>
    </row>
    <row r="112" spans="1:15" s="187" customFormat="1" ht="17.25" customHeight="1" outlineLevel="1" x14ac:dyDescent="0.2">
      <c r="A112" s="271">
        <v>45005</v>
      </c>
      <c r="B112" s="271">
        <v>45012</v>
      </c>
      <c r="C112" s="272" t="s">
        <v>138</v>
      </c>
      <c r="D112" s="273" t="s">
        <v>165</v>
      </c>
      <c r="E112" s="274">
        <v>47133</v>
      </c>
      <c r="F112" s="275">
        <v>6.4000000000000001E-2</v>
      </c>
      <c r="G112" s="276"/>
      <c r="H112" s="276"/>
      <c r="I112" s="277">
        <v>6.5500000000000003E-2</v>
      </c>
      <c r="J112" s="276"/>
      <c r="K112" s="278">
        <v>831981</v>
      </c>
      <c r="L112" s="278">
        <v>831981</v>
      </c>
      <c r="M112" s="292">
        <f t="shared" ref="M112:M114" si="17">IF(L112=0,0,K112/L112)</f>
        <v>1</v>
      </c>
      <c r="O112" s="189"/>
    </row>
    <row r="113" spans="1:13" ht="12.75" customHeight="1" outlineLevel="1" x14ac:dyDescent="0.2">
      <c r="A113" s="291"/>
      <c r="B113" s="284"/>
      <c r="C113" s="282"/>
      <c r="D113" s="283" t="s">
        <v>164</v>
      </c>
      <c r="E113" s="284">
        <v>48228</v>
      </c>
      <c r="F113" s="285">
        <v>0.03</v>
      </c>
      <c r="G113" s="285"/>
      <c r="H113" s="285"/>
      <c r="I113" s="286">
        <v>4.9500000000000002E-2</v>
      </c>
      <c r="J113" s="286"/>
      <c r="K113" s="293" t="s">
        <v>250</v>
      </c>
      <c r="L113" s="293" t="s">
        <v>250</v>
      </c>
      <c r="M113" s="292"/>
    </row>
    <row r="114" spans="1:13" ht="12.75" customHeight="1" outlineLevel="1" x14ac:dyDescent="0.2">
      <c r="A114" s="291"/>
      <c r="B114" s="291"/>
      <c r="C114" s="282"/>
      <c r="D114" s="283"/>
      <c r="E114" s="284"/>
      <c r="F114" s="285"/>
      <c r="G114" s="285"/>
      <c r="H114" s="285"/>
      <c r="I114" s="286"/>
      <c r="J114" s="286"/>
      <c r="K114" s="293">
        <f>33993000*15189/1000000</f>
        <v>516319.67700000003</v>
      </c>
      <c r="L114" s="293">
        <f>33993000*15189/1000000</f>
        <v>516319.67700000003</v>
      </c>
      <c r="M114" s="292">
        <f t="shared" si="17"/>
        <v>1</v>
      </c>
    </row>
    <row r="115" spans="1:13" s="187" customFormat="1" ht="13.5" customHeight="1" outlineLevel="1" x14ac:dyDescent="0.2">
      <c r="A115" s="427" t="s">
        <v>121</v>
      </c>
      <c r="B115" s="428"/>
      <c r="C115" s="428"/>
      <c r="D115" s="428"/>
      <c r="E115" s="428"/>
      <c r="F115" s="428"/>
      <c r="G115" s="428"/>
      <c r="H115" s="428"/>
      <c r="I115" s="428"/>
      <c r="J115" s="429"/>
      <c r="K115" s="280">
        <f>SUM(K112,K114)</f>
        <v>1348300.6770000001</v>
      </c>
      <c r="L115" s="280">
        <f>SUM(L112,L114)</f>
        <v>1348300.6770000001</v>
      </c>
      <c r="M115" s="280"/>
    </row>
    <row r="116" spans="1:13" ht="12" customHeight="1" outlineLevel="1" x14ac:dyDescent="0.2">
      <c r="A116" s="164">
        <v>45006</v>
      </c>
      <c r="B116" s="164">
        <v>45012</v>
      </c>
      <c r="C116" s="160" t="s">
        <v>136</v>
      </c>
      <c r="D116" s="176" t="s">
        <v>174</v>
      </c>
      <c r="E116" s="158">
        <v>45118</v>
      </c>
      <c r="F116" s="167" t="s">
        <v>128</v>
      </c>
      <c r="G116" s="167">
        <v>4.8399999999999999E-2</v>
      </c>
      <c r="H116" s="167">
        <v>4.9000000000000002E-2</v>
      </c>
      <c r="I116" s="218">
        <v>4.8658300000000002E-2</v>
      </c>
      <c r="J116" s="218">
        <v>4.87E-2</v>
      </c>
      <c r="K116" s="195">
        <v>3350000</v>
      </c>
      <c r="L116" s="219">
        <v>600000</v>
      </c>
      <c r="M116" s="174">
        <f t="shared" ref="M116:M121" si="18">IF(L116=0,0,K116/L116)</f>
        <v>5.583333333333333</v>
      </c>
    </row>
    <row r="117" spans="1:13" ht="12.75" customHeight="1" outlineLevel="1" x14ac:dyDescent="0.2">
      <c r="A117" s="164"/>
      <c r="B117" s="158"/>
      <c r="C117" s="160"/>
      <c r="D117" s="176" t="s">
        <v>146</v>
      </c>
      <c r="E117" s="158">
        <v>45884</v>
      </c>
      <c r="F117" s="167">
        <v>5.3749999999999999E-2</v>
      </c>
      <c r="G117" s="167">
        <v>6.3899999999999998E-2</v>
      </c>
      <c r="H117" s="167">
        <v>6.6299999999999998E-2</v>
      </c>
      <c r="I117" s="165">
        <v>6.4095799999999994E-2</v>
      </c>
      <c r="J117" s="159">
        <v>6.4100000000000004E-2</v>
      </c>
      <c r="K117" s="195">
        <v>13111000</v>
      </c>
      <c r="L117" s="196">
        <v>6250000</v>
      </c>
      <c r="M117" s="174">
        <f t="shared" si="18"/>
        <v>2.0977600000000001</v>
      </c>
    </row>
    <row r="118" spans="1:13" ht="12.75" customHeight="1" outlineLevel="1" x14ac:dyDescent="0.2">
      <c r="A118" s="156"/>
      <c r="B118" s="156"/>
      <c r="C118" s="156"/>
      <c r="D118" s="176" t="s">
        <v>50</v>
      </c>
      <c r="E118" s="158">
        <v>46402</v>
      </c>
      <c r="F118" s="167">
        <v>0.06</v>
      </c>
      <c r="G118" s="167">
        <v>6.4699999999999994E-2</v>
      </c>
      <c r="H118" s="167">
        <v>6.6699999999999995E-2</v>
      </c>
      <c r="I118" s="165">
        <v>6.4788899999999996E-2</v>
      </c>
      <c r="J118" s="159">
        <v>6.5000000000000002E-2</v>
      </c>
      <c r="K118" s="195">
        <v>2068000</v>
      </c>
      <c r="L118" s="196">
        <v>1200000</v>
      </c>
      <c r="M118" s="174">
        <f t="shared" si="18"/>
        <v>1.7233333333333334</v>
      </c>
    </row>
    <row r="119" spans="1:13" ht="12.75" customHeight="1" outlineLevel="1" x14ac:dyDescent="0.2">
      <c r="A119" s="156"/>
      <c r="B119" s="156"/>
      <c r="C119" s="156"/>
      <c r="D119" s="2" t="s">
        <v>153</v>
      </c>
      <c r="E119" s="158">
        <v>47376</v>
      </c>
      <c r="F119" s="204">
        <v>6.6250000000000003E-2</v>
      </c>
      <c r="G119" s="167">
        <v>6.5699999999999995E-2</v>
      </c>
      <c r="H119" s="167">
        <v>6.83E-2</v>
      </c>
      <c r="I119" s="165">
        <v>6.60853E-2</v>
      </c>
      <c r="J119" s="159">
        <v>6.6500000000000004E-2</v>
      </c>
      <c r="K119" s="195">
        <v>1330000</v>
      </c>
      <c r="L119" s="196">
        <v>500000</v>
      </c>
      <c r="M119" s="174">
        <f t="shared" si="18"/>
        <v>2.66</v>
      </c>
    </row>
    <row r="120" spans="1:13" ht="12.75" customHeight="1" outlineLevel="1" x14ac:dyDescent="0.2">
      <c r="A120" s="156"/>
      <c r="B120" s="156"/>
      <c r="C120" s="156"/>
      <c r="D120" s="176" t="s">
        <v>150</v>
      </c>
      <c r="E120" s="158">
        <v>49749</v>
      </c>
      <c r="F120" s="167">
        <v>6.8750000000000006E-2</v>
      </c>
      <c r="G120" s="167">
        <v>7.0699999999999999E-2</v>
      </c>
      <c r="H120" s="167">
        <v>7.2099999999999997E-2</v>
      </c>
      <c r="I120" s="197">
        <v>7.1392200000000003E-2</v>
      </c>
      <c r="J120" s="198">
        <v>7.1599999999999997E-2</v>
      </c>
      <c r="K120" s="195">
        <v>1809700</v>
      </c>
      <c r="L120" s="196">
        <v>1050000</v>
      </c>
      <c r="M120" s="174">
        <f t="shared" si="18"/>
        <v>1.7235238095238095</v>
      </c>
    </row>
    <row r="121" spans="1:13" ht="12.75" customHeight="1" outlineLevel="1" x14ac:dyDescent="0.2">
      <c r="A121" s="156"/>
      <c r="B121" s="156"/>
      <c r="C121" s="156"/>
      <c r="D121" s="176" t="s">
        <v>148</v>
      </c>
      <c r="E121" s="158">
        <v>53858</v>
      </c>
      <c r="F121" s="167">
        <v>6.7500000000000004E-2</v>
      </c>
      <c r="G121" s="167">
        <v>7.1800000000000003E-2</v>
      </c>
      <c r="H121" s="167">
        <v>7.3200000000000001E-2</v>
      </c>
      <c r="I121" s="159">
        <v>7.2398299999999999E-2</v>
      </c>
      <c r="J121" s="199">
        <v>7.2499999999999995E-2</v>
      </c>
      <c r="K121" s="195">
        <v>1844500</v>
      </c>
      <c r="L121" s="195">
        <v>1400000</v>
      </c>
      <c r="M121" s="174">
        <f t="shared" si="18"/>
        <v>1.3174999999999999</v>
      </c>
    </row>
    <row r="122" spans="1:13" s="1" customFormat="1" ht="12.75" customHeight="1" outlineLevel="1" x14ac:dyDescent="0.2">
      <c r="A122" s="417" t="s">
        <v>121</v>
      </c>
      <c r="B122" s="418"/>
      <c r="C122" s="418"/>
      <c r="D122" s="418"/>
      <c r="E122" s="418"/>
      <c r="F122" s="418"/>
      <c r="G122" s="418"/>
      <c r="H122" s="418"/>
      <c r="I122" s="418"/>
      <c r="J122" s="419"/>
      <c r="K122" s="200">
        <f>SUM(K116:K121)</f>
        <v>23513200</v>
      </c>
      <c r="L122" s="200">
        <f>SUM(L116:L121)</f>
        <v>11000000</v>
      </c>
      <c r="M122" s="179"/>
    </row>
    <row r="123" spans="1:13" ht="12.75" customHeight="1" outlineLevel="1" x14ac:dyDescent="0.2">
      <c r="A123" s="281">
        <v>45013</v>
      </c>
      <c r="B123" s="281">
        <v>45015</v>
      </c>
      <c r="C123" s="282" t="s">
        <v>136</v>
      </c>
      <c r="D123" s="283" t="s">
        <v>177</v>
      </c>
      <c r="E123" s="284">
        <v>45105</v>
      </c>
      <c r="F123" s="285" t="s">
        <v>128</v>
      </c>
      <c r="G123" s="285">
        <v>4.4499999999999998E-2</v>
      </c>
      <c r="H123" s="285">
        <v>4.4699999999999997E-2</v>
      </c>
      <c r="I123" s="286">
        <v>4.4589999999999998E-2</v>
      </c>
      <c r="J123" s="286">
        <v>4.4699999999999997E-2</v>
      </c>
      <c r="K123" s="287">
        <v>150000</v>
      </c>
      <c r="L123" s="288">
        <v>150000</v>
      </c>
      <c r="M123" s="289">
        <f>IF(L123=0,0,K123/L123)</f>
        <v>1</v>
      </c>
    </row>
    <row r="124" spans="1:13" ht="12.75" customHeight="1" outlineLevel="1" x14ac:dyDescent="0.2">
      <c r="A124" s="281"/>
      <c r="B124" s="284"/>
      <c r="C124" s="282"/>
      <c r="D124" s="283" t="s">
        <v>178</v>
      </c>
      <c r="E124" s="284">
        <v>45379</v>
      </c>
      <c r="F124" s="285" t="s">
        <v>128</v>
      </c>
      <c r="G124" s="285">
        <v>5.45E-2</v>
      </c>
      <c r="H124" s="285">
        <v>5.5E-2</v>
      </c>
      <c r="I124" s="285">
        <v>5.4699999999999999E-2</v>
      </c>
      <c r="J124" s="286">
        <v>5.5E-2</v>
      </c>
      <c r="K124" s="287">
        <v>1350000</v>
      </c>
      <c r="L124" s="288">
        <v>1350000</v>
      </c>
      <c r="M124" s="290">
        <f t="shared" ref="M124:M129" si="19">IF(L124=0,0,K124/L124)</f>
        <v>1</v>
      </c>
    </row>
    <row r="125" spans="1:13" ht="12.75" customHeight="1" outlineLevel="1" x14ac:dyDescent="0.2">
      <c r="A125" s="291"/>
      <c r="B125" s="291"/>
      <c r="C125" s="291"/>
      <c r="D125" s="283" t="s">
        <v>139</v>
      </c>
      <c r="E125" s="284">
        <v>46980</v>
      </c>
      <c r="F125" s="285">
        <v>6.3750000000000001E-2</v>
      </c>
      <c r="G125" s="285">
        <v>6.3299999999999995E-2</v>
      </c>
      <c r="H125" s="285">
        <v>6.4500000000000002E-2</v>
      </c>
      <c r="I125" s="286">
        <v>6.3599299999999998E-2</v>
      </c>
      <c r="J125" s="286">
        <v>6.3899999999999998E-2</v>
      </c>
      <c r="K125" s="287">
        <v>9387600</v>
      </c>
      <c r="L125" s="288">
        <v>7000000</v>
      </c>
      <c r="M125" s="290">
        <f t="shared" si="19"/>
        <v>1.3410857142857142</v>
      </c>
    </row>
    <row r="126" spans="1:13" ht="12.75" customHeight="1" outlineLevel="1" x14ac:dyDescent="0.2">
      <c r="A126" s="291"/>
      <c r="B126" s="291"/>
      <c r="C126" s="291"/>
      <c r="D126" s="283" t="s">
        <v>140</v>
      </c>
      <c r="E126" s="284">
        <v>48625</v>
      </c>
      <c r="F126" s="285">
        <v>7.0000000000000007E-2</v>
      </c>
      <c r="G126" s="285">
        <v>6.7100000000000007E-2</v>
      </c>
      <c r="H126" s="285">
        <v>6.9000000000000006E-2</v>
      </c>
      <c r="I126" s="286">
        <v>6.7652100000000007E-2</v>
      </c>
      <c r="J126" s="286">
        <v>6.7900000000000002E-2</v>
      </c>
      <c r="K126" s="287">
        <v>12680500</v>
      </c>
      <c r="L126" s="288">
        <v>7350000</v>
      </c>
      <c r="M126" s="292">
        <f t="shared" si="19"/>
        <v>1.7252380952380952</v>
      </c>
    </row>
    <row r="127" spans="1:13" ht="12.75" customHeight="1" outlineLevel="1" x14ac:dyDescent="0.2">
      <c r="A127" s="291"/>
      <c r="B127" s="291"/>
      <c r="C127" s="291"/>
      <c r="D127" s="283" t="s">
        <v>142</v>
      </c>
      <c r="E127" s="284">
        <v>50571</v>
      </c>
      <c r="F127" s="285">
        <v>7.1249999999999994E-2</v>
      </c>
      <c r="G127" s="285">
        <v>6.9400000000000003E-2</v>
      </c>
      <c r="H127" s="285">
        <v>7.1499999999999994E-2</v>
      </c>
      <c r="I127" s="286">
        <v>6.9999599999999995E-2</v>
      </c>
      <c r="J127" s="286">
        <v>7.0199999999999999E-2</v>
      </c>
      <c r="K127" s="287">
        <v>2857200</v>
      </c>
      <c r="L127" s="293">
        <v>2100000</v>
      </c>
      <c r="M127" s="292">
        <f t="shared" si="19"/>
        <v>1.3605714285714285</v>
      </c>
    </row>
    <row r="128" spans="1:13" ht="12.75" customHeight="1" outlineLevel="1" x14ac:dyDescent="0.2">
      <c r="A128" s="291"/>
      <c r="B128" s="291"/>
      <c r="C128" s="291"/>
      <c r="D128" s="283" t="s">
        <v>141</v>
      </c>
      <c r="E128" s="284">
        <v>52397</v>
      </c>
      <c r="F128" s="285">
        <v>7.1249999999999994E-2</v>
      </c>
      <c r="G128" s="285">
        <v>7.0000000000000007E-2</v>
      </c>
      <c r="H128" s="285">
        <v>7.1499999999999994E-2</v>
      </c>
      <c r="I128" s="286">
        <v>7.0292599999999997E-2</v>
      </c>
      <c r="J128" s="286">
        <v>7.0499999999999993E-2</v>
      </c>
      <c r="K128" s="287">
        <v>1629200</v>
      </c>
      <c r="L128" s="293">
        <v>1250000</v>
      </c>
      <c r="M128" s="292">
        <f t="shared" si="19"/>
        <v>1.3033600000000001</v>
      </c>
    </row>
    <row r="129" spans="1:13" ht="12.75" customHeight="1" outlineLevel="1" x14ac:dyDescent="0.2">
      <c r="A129" s="291"/>
      <c r="B129" s="291"/>
      <c r="C129" s="291"/>
      <c r="D129" s="283" t="s">
        <v>137</v>
      </c>
      <c r="E129" s="284">
        <v>55380</v>
      </c>
      <c r="F129" s="285">
        <v>6.8750000000000006E-2</v>
      </c>
      <c r="G129" s="285">
        <v>7.0300000000000001E-2</v>
      </c>
      <c r="H129" s="285">
        <v>7.1599999999999997E-2</v>
      </c>
      <c r="I129" s="286">
        <v>7.0586899999999994E-2</v>
      </c>
      <c r="J129" s="286">
        <v>7.0800000000000002E-2</v>
      </c>
      <c r="K129" s="287">
        <v>1283800</v>
      </c>
      <c r="L129" s="293">
        <v>800000</v>
      </c>
      <c r="M129" s="292">
        <f t="shared" si="19"/>
        <v>1.6047499999999999</v>
      </c>
    </row>
    <row r="130" spans="1:13" s="1" customFormat="1" ht="12.75" customHeight="1" outlineLevel="1" x14ac:dyDescent="0.2">
      <c r="A130" s="398" t="s">
        <v>121</v>
      </c>
      <c r="B130" s="400"/>
      <c r="C130" s="400"/>
      <c r="D130" s="400"/>
      <c r="E130" s="400"/>
      <c r="F130" s="400"/>
      <c r="G130" s="400"/>
      <c r="H130" s="400"/>
      <c r="I130" s="400"/>
      <c r="J130" s="401"/>
      <c r="K130" s="294">
        <f>SUM(K123:K129)</f>
        <v>29338300</v>
      </c>
      <c r="L130" s="294">
        <f>SUM(L123:L129)</f>
        <v>20000000</v>
      </c>
      <c r="M130" s="295"/>
    </row>
    <row r="131" spans="1:13" ht="12.75" customHeight="1" x14ac:dyDescent="0.2">
      <c r="A131" s="402" t="s">
        <v>171</v>
      </c>
      <c r="B131" s="403"/>
      <c r="C131" s="403"/>
      <c r="D131" s="403"/>
      <c r="E131" s="403"/>
      <c r="F131" s="403"/>
      <c r="G131" s="403"/>
      <c r="H131" s="403"/>
      <c r="I131" s="403"/>
      <c r="J131" s="404"/>
      <c r="K131" s="177">
        <f>K96+K103+K111+K122+K130+K115</f>
        <v>172800400.67699999</v>
      </c>
      <c r="L131" s="177">
        <f>L96+L103+L111+L122+L130+L115</f>
        <v>83348300.677000001</v>
      </c>
      <c r="M131" s="166"/>
    </row>
    <row r="132" spans="1:13" ht="12.75" customHeight="1" x14ac:dyDescent="0.2">
      <c r="A132" s="402" t="s">
        <v>251</v>
      </c>
      <c r="B132" s="403"/>
      <c r="C132" s="403"/>
      <c r="D132" s="403"/>
      <c r="E132" s="403"/>
      <c r="F132" s="403"/>
      <c r="G132" s="403"/>
      <c r="H132" s="403"/>
      <c r="I132" s="403"/>
      <c r="J132" s="404"/>
      <c r="K132" s="177">
        <f>K88+K131</f>
        <v>557129236.76900005</v>
      </c>
      <c r="L132" s="177">
        <f>L88+L131</f>
        <v>293752336.76899999</v>
      </c>
      <c r="M132" s="166"/>
    </row>
    <row r="133" spans="1:13" ht="12" customHeight="1" outlineLevel="1" x14ac:dyDescent="0.2">
      <c r="A133" s="309">
        <v>45016</v>
      </c>
      <c r="B133" s="309">
        <v>45020</v>
      </c>
      <c r="C133" s="310" t="s">
        <v>138</v>
      </c>
      <c r="D133" s="311" t="s">
        <v>98</v>
      </c>
      <c r="E133" s="312">
        <v>48714</v>
      </c>
      <c r="F133" s="313">
        <v>6.6250000000000003E-2</v>
      </c>
      <c r="G133" s="314"/>
      <c r="H133" s="315"/>
      <c r="I133" s="316"/>
      <c r="J133" s="316"/>
      <c r="K133" s="317">
        <v>1700000</v>
      </c>
      <c r="L133" s="318">
        <v>1700000</v>
      </c>
      <c r="M133" s="319"/>
    </row>
    <row r="134" spans="1:13" s="1" customFormat="1" ht="12.75" customHeight="1" outlineLevel="1" x14ac:dyDescent="0.2">
      <c r="A134" s="398" t="s">
        <v>121</v>
      </c>
      <c r="B134" s="400"/>
      <c r="C134" s="400"/>
      <c r="D134" s="400"/>
      <c r="E134" s="400"/>
      <c r="F134" s="400"/>
      <c r="G134" s="400"/>
      <c r="H134" s="400"/>
      <c r="I134" s="400"/>
      <c r="J134" s="401"/>
      <c r="K134" s="294">
        <f>SUM(K133)</f>
        <v>1700000</v>
      </c>
      <c r="L134" s="294">
        <f>SUM(L133)</f>
        <v>1700000</v>
      </c>
      <c r="M134" s="295"/>
    </row>
    <row r="135" spans="1:13" ht="12" customHeight="1" outlineLevel="1" x14ac:dyDescent="0.2">
      <c r="A135" s="164">
        <v>45020</v>
      </c>
      <c r="B135" s="164">
        <v>45022</v>
      </c>
      <c r="C135" s="160" t="s">
        <v>136</v>
      </c>
      <c r="D135" s="176" t="s">
        <v>180</v>
      </c>
      <c r="E135" s="158">
        <v>45118</v>
      </c>
      <c r="F135" s="167" t="s">
        <v>128</v>
      </c>
      <c r="G135" s="167">
        <v>4.8000000000000001E-2</v>
      </c>
      <c r="H135" s="167">
        <v>4.9500000000000002E-2</v>
      </c>
      <c r="I135" s="191">
        <v>4.82391E-2</v>
      </c>
      <c r="J135" s="191">
        <v>4.8500000000000001E-2</v>
      </c>
      <c r="K135" s="194">
        <v>4050000</v>
      </c>
      <c r="L135" s="193">
        <v>1150000</v>
      </c>
      <c r="M135" s="172">
        <f>IF(L135=0,0,K135/L135)</f>
        <v>3.5217391304347827</v>
      </c>
    </row>
    <row r="136" spans="1:13" ht="12.75" customHeight="1" outlineLevel="1" x14ac:dyDescent="0.2">
      <c r="A136" s="164"/>
      <c r="B136" s="158"/>
      <c r="C136" s="160"/>
      <c r="D136" s="176" t="s">
        <v>146</v>
      </c>
      <c r="E136" s="158">
        <v>45884</v>
      </c>
      <c r="F136" s="167">
        <v>5.3749999999999999E-2</v>
      </c>
      <c r="G136" s="167">
        <v>6.3200000000000006E-2</v>
      </c>
      <c r="H136" s="167">
        <v>6.4600000000000005E-2</v>
      </c>
      <c r="I136" s="165">
        <v>6.3899999999999998E-2</v>
      </c>
      <c r="J136" s="159">
        <v>6.3899999999999998E-2</v>
      </c>
      <c r="K136" s="196">
        <v>13252000</v>
      </c>
      <c r="L136" s="195">
        <v>2300000</v>
      </c>
      <c r="M136" s="172">
        <f t="shared" ref="M136:M140" si="20">IF(L136=0,0,K136/L136)</f>
        <v>5.7617391304347825</v>
      </c>
    </row>
    <row r="137" spans="1:13" ht="12.75" customHeight="1" outlineLevel="1" x14ac:dyDescent="0.2">
      <c r="A137" s="156"/>
      <c r="B137" s="156"/>
      <c r="C137" s="156"/>
      <c r="D137" s="176" t="s">
        <v>50</v>
      </c>
      <c r="E137" s="158">
        <v>46402</v>
      </c>
      <c r="F137" s="167">
        <v>0.06</v>
      </c>
      <c r="G137" s="167">
        <v>6.4000000000000001E-2</v>
      </c>
      <c r="H137" s="167">
        <v>6.6199999999999995E-2</v>
      </c>
      <c r="I137" s="165">
        <v>6.4667799999999998E-2</v>
      </c>
      <c r="J137" s="159">
        <v>6.5100000000000005E-2</v>
      </c>
      <c r="K137" s="196">
        <v>1937500</v>
      </c>
      <c r="L137" s="195">
        <v>1450000</v>
      </c>
      <c r="M137" s="172">
        <f t="shared" si="20"/>
        <v>1.3362068965517242</v>
      </c>
    </row>
    <row r="138" spans="1:13" ht="12.75" customHeight="1" outlineLevel="1" x14ac:dyDescent="0.2">
      <c r="A138" s="156"/>
      <c r="B138" s="156"/>
      <c r="C138" s="156"/>
      <c r="D138" s="176" t="s">
        <v>150</v>
      </c>
      <c r="E138" s="158">
        <v>49749</v>
      </c>
      <c r="F138" s="167">
        <v>6.8750000000000006E-2</v>
      </c>
      <c r="G138" s="167">
        <v>7.0000000000000007E-2</v>
      </c>
      <c r="H138" s="167">
        <v>7.1800000000000003E-2</v>
      </c>
      <c r="I138" s="165">
        <v>7.0795200000000003E-2</v>
      </c>
      <c r="J138" s="159">
        <v>7.0999999999999994E-2</v>
      </c>
      <c r="K138" s="196">
        <v>1513500</v>
      </c>
      <c r="L138" s="195">
        <v>950000</v>
      </c>
      <c r="M138" s="172">
        <f t="shared" si="20"/>
        <v>1.5931578947368421</v>
      </c>
    </row>
    <row r="139" spans="1:13" ht="12.75" customHeight="1" outlineLevel="1" x14ac:dyDescent="0.2">
      <c r="A139" s="156"/>
      <c r="B139" s="211"/>
      <c r="C139" s="156"/>
      <c r="D139" s="176" t="s">
        <v>147</v>
      </c>
      <c r="E139" s="158">
        <v>54589</v>
      </c>
      <c r="F139" s="167">
        <v>6.5000000000000002E-2</v>
      </c>
      <c r="G139" s="167">
        <v>7.0400000000000004E-2</v>
      </c>
      <c r="H139" s="167">
        <v>7.1599999999999997E-2</v>
      </c>
      <c r="I139" s="165">
        <v>7.0772799999999997E-2</v>
      </c>
      <c r="J139" s="198">
        <v>7.1599999999999997E-2</v>
      </c>
      <c r="K139" s="196">
        <v>2336000</v>
      </c>
      <c r="L139" s="195">
        <v>2250000</v>
      </c>
      <c r="M139" s="172">
        <f t="shared" si="20"/>
        <v>1.0382222222222222</v>
      </c>
    </row>
    <row r="140" spans="1:13" ht="12.75" customHeight="1" outlineLevel="1" x14ac:dyDescent="0.2">
      <c r="A140" s="211"/>
      <c r="B140" s="211"/>
      <c r="C140" s="211"/>
      <c r="D140" s="212" t="s">
        <v>148</v>
      </c>
      <c r="E140" s="213">
        <v>53858</v>
      </c>
      <c r="F140" s="214">
        <v>6.7500000000000004E-2</v>
      </c>
      <c r="G140" s="214">
        <v>7.1499999999999994E-2</v>
      </c>
      <c r="H140" s="214">
        <v>7.2900000000000006E-2</v>
      </c>
      <c r="I140" s="215">
        <v>7.1666199999999999E-2</v>
      </c>
      <c r="J140" s="216">
        <v>7.1999999999999995E-2</v>
      </c>
      <c r="K140" s="217">
        <v>1681000</v>
      </c>
      <c r="L140" s="217">
        <v>900000</v>
      </c>
      <c r="M140" s="203">
        <f t="shared" si="20"/>
        <v>1.8677777777777778</v>
      </c>
    </row>
    <row r="141" spans="1:13" s="1" customFormat="1" ht="12.75" customHeight="1" outlineLevel="1" x14ac:dyDescent="0.2">
      <c r="A141" s="409" t="s">
        <v>121</v>
      </c>
      <c r="B141" s="410"/>
      <c r="C141" s="410"/>
      <c r="D141" s="410"/>
      <c r="E141" s="410"/>
      <c r="F141" s="410"/>
      <c r="G141" s="410"/>
      <c r="H141" s="410"/>
      <c r="I141" s="410"/>
      <c r="J141" s="411"/>
      <c r="K141" s="220">
        <f>SUM(K135:K140)</f>
        <v>24770000</v>
      </c>
      <c r="L141" s="220">
        <f>SUM(L135:L140)</f>
        <v>9000000</v>
      </c>
      <c r="M141" s="221"/>
    </row>
    <row r="142" spans="1:13" ht="12" customHeight="1" outlineLevel="1" x14ac:dyDescent="0.2">
      <c r="A142" s="238">
        <v>45019</v>
      </c>
      <c r="B142" s="238">
        <v>45021</v>
      </c>
      <c r="C142" s="239" t="s">
        <v>158</v>
      </c>
      <c r="D142" s="240" t="s">
        <v>187</v>
      </c>
      <c r="E142" s="241">
        <v>46091</v>
      </c>
      <c r="F142" s="242">
        <v>6.25E-2</v>
      </c>
      <c r="G142" s="242"/>
      <c r="H142" s="242"/>
      <c r="I142" s="243"/>
      <c r="J142" s="243"/>
      <c r="K142" s="245" t="s">
        <v>190</v>
      </c>
      <c r="L142" s="245" t="s">
        <v>191</v>
      </c>
      <c r="M142" s="244"/>
    </row>
    <row r="143" spans="1:13" ht="12" customHeight="1" outlineLevel="1" x14ac:dyDescent="0.2">
      <c r="A143" s="238"/>
      <c r="B143" s="238"/>
      <c r="C143" s="239"/>
      <c r="D143" s="240" t="s">
        <v>188</v>
      </c>
      <c r="E143" s="241">
        <v>46822</v>
      </c>
      <c r="F143" s="242">
        <v>6.4000000000000001E-2</v>
      </c>
      <c r="G143" s="242"/>
      <c r="H143" s="242"/>
      <c r="I143" s="243"/>
      <c r="J143" s="243"/>
      <c r="K143" s="245">
        <v>4544818</v>
      </c>
      <c r="L143" s="245">
        <v>4544818</v>
      </c>
      <c r="M143" s="244"/>
    </row>
    <row r="144" spans="1:13" s="1" customFormat="1" ht="12.75" customHeight="1" outlineLevel="1" x14ac:dyDescent="0.2">
      <c r="A144" s="430" t="s">
        <v>121</v>
      </c>
      <c r="B144" s="430"/>
      <c r="C144" s="430"/>
      <c r="D144" s="430"/>
      <c r="E144" s="430"/>
      <c r="F144" s="430"/>
      <c r="G144" s="430"/>
      <c r="H144" s="430"/>
      <c r="I144" s="430"/>
      <c r="J144" s="430"/>
      <c r="K144" s="200">
        <v>21494577</v>
      </c>
      <c r="L144" s="200">
        <v>21494577</v>
      </c>
      <c r="M144" s="166"/>
    </row>
    <row r="145" spans="1:14" ht="12.75" customHeight="1" outlineLevel="1" x14ac:dyDescent="0.2">
      <c r="A145" s="281">
        <v>45027</v>
      </c>
      <c r="B145" s="281">
        <v>45029</v>
      </c>
      <c r="C145" s="282" t="s">
        <v>136</v>
      </c>
      <c r="D145" s="283" t="s">
        <v>182</v>
      </c>
      <c r="E145" s="284">
        <v>45119</v>
      </c>
      <c r="F145" s="285" t="s">
        <v>128</v>
      </c>
      <c r="G145" s="285">
        <v>4.4200000000000003E-2</v>
      </c>
      <c r="H145" s="285">
        <v>4.4600000000000001E-2</v>
      </c>
      <c r="I145" s="286">
        <v>4.444E-2</v>
      </c>
      <c r="J145" s="286">
        <v>4.4600000000000001E-2</v>
      </c>
      <c r="K145" s="287">
        <v>50000</v>
      </c>
      <c r="L145" s="288">
        <v>50000</v>
      </c>
      <c r="M145" s="290">
        <f>IF(L145=0,0,K145/L145)</f>
        <v>1</v>
      </c>
    </row>
    <row r="146" spans="1:14" ht="12.75" customHeight="1" outlineLevel="1" x14ac:dyDescent="0.2">
      <c r="A146" s="281"/>
      <c r="B146" s="284"/>
      <c r="C146" s="282"/>
      <c r="D146" s="283" t="s">
        <v>183</v>
      </c>
      <c r="E146" s="284">
        <v>45393</v>
      </c>
      <c r="F146" s="285" t="s">
        <v>128</v>
      </c>
      <c r="G146" s="285">
        <v>5.3499999999999999E-2</v>
      </c>
      <c r="H146" s="285">
        <v>5.7500000000000002E-2</v>
      </c>
      <c r="I146" s="285">
        <v>5.4300000000000001E-2</v>
      </c>
      <c r="J146" s="286">
        <v>5.4800000000000001E-2</v>
      </c>
      <c r="K146" s="287">
        <v>9900000</v>
      </c>
      <c r="L146" s="288">
        <v>2000000</v>
      </c>
      <c r="M146" s="290">
        <f t="shared" ref="M146:M151" si="21">IF(L146=0,0,K146/L146)</f>
        <v>4.95</v>
      </c>
      <c r="N146" s="223"/>
    </row>
    <row r="147" spans="1:14" ht="12.75" customHeight="1" outlineLevel="1" x14ac:dyDescent="0.2">
      <c r="A147" s="291"/>
      <c r="B147" s="291"/>
      <c r="C147" s="291"/>
      <c r="D147" s="283" t="s">
        <v>139</v>
      </c>
      <c r="E147" s="284">
        <v>46980</v>
      </c>
      <c r="F147" s="285">
        <v>6.3750000000000001E-2</v>
      </c>
      <c r="G147" s="285">
        <v>6.2700000000000006E-2</v>
      </c>
      <c r="H147" s="285">
        <v>6.5000000000000002E-2</v>
      </c>
      <c r="I147" s="286">
        <v>6.3398800000000005E-2</v>
      </c>
      <c r="J147" s="286">
        <v>6.3500000000000001E-2</v>
      </c>
      <c r="K147" s="287">
        <v>7237500</v>
      </c>
      <c r="L147" s="288">
        <v>2150000</v>
      </c>
      <c r="M147" s="290">
        <f t="shared" si="21"/>
        <v>3.3662790697674421</v>
      </c>
    </row>
    <row r="148" spans="1:14" ht="12.75" customHeight="1" outlineLevel="1" x14ac:dyDescent="0.2">
      <c r="A148" s="291"/>
      <c r="B148" s="291"/>
      <c r="C148" s="291"/>
      <c r="D148" s="283" t="s">
        <v>140</v>
      </c>
      <c r="E148" s="284">
        <v>48625</v>
      </c>
      <c r="F148" s="285">
        <v>7.0000000000000007E-2</v>
      </c>
      <c r="G148" s="285">
        <v>6.6100000000000006E-2</v>
      </c>
      <c r="H148" s="285">
        <v>7.0000000000000007E-2</v>
      </c>
      <c r="I148" s="286">
        <v>6.6306799999999999E-2</v>
      </c>
      <c r="J148" s="286">
        <v>6.6500000000000004E-2</v>
      </c>
      <c r="K148" s="287">
        <v>19441500</v>
      </c>
      <c r="L148" s="288">
        <v>9300000</v>
      </c>
      <c r="M148" s="292">
        <f t="shared" si="21"/>
        <v>2.0904838709677418</v>
      </c>
    </row>
    <row r="149" spans="1:14" ht="12.75" customHeight="1" outlineLevel="1" x14ac:dyDescent="0.2">
      <c r="A149" s="291"/>
      <c r="B149" s="291"/>
      <c r="C149" s="291"/>
      <c r="D149" s="283" t="s">
        <v>142</v>
      </c>
      <c r="E149" s="284">
        <v>50571</v>
      </c>
      <c r="F149" s="285">
        <v>7.1249999999999994E-2</v>
      </c>
      <c r="G149" s="285">
        <v>6.8699999999999997E-2</v>
      </c>
      <c r="H149" s="285">
        <v>7.0499999999999993E-2</v>
      </c>
      <c r="I149" s="286">
        <v>6.8996299999999997E-2</v>
      </c>
      <c r="J149" s="286">
        <v>6.9199999999999998E-2</v>
      </c>
      <c r="K149" s="287">
        <v>5461800</v>
      </c>
      <c r="L149" s="293">
        <v>1950000</v>
      </c>
      <c r="M149" s="292">
        <f t="shared" si="21"/>
        <v>2.8009230769230768</v>
      </c>
    </row>
    <row r="150" spans="1:14" ht="12.75" customHeight="1" outlineLevel="1" x14ac:dyDescent="0.2">
      <c r="A150" s="291"/>
      <c r="B150" s="291"/>
      <c r="C150" s="291"/>
      <c r="D150" s="283" t="s">
        <v>141</v>
      </c>
      <c r="E150" s="284">
        <v>52397</v>
      </c>
      <c r="F150" s="285">
        <v>7.1249999999999994E-2</v>
      </c>
      <c r="G150" s="285">
        <v>6.9099999999999995E-2</v>
      </c>
      <c r="H150" s="285">
        <v>7.0400000000000004E-2</v>
      </c>
      <c r="I150" s="286">
        <v>6.94964E-2</v>
      </c>
      <c r="J150" s="286">
        <v>6.9699999999999998E-2</v>
      </c>
      <c r="K150" s="287">
        <v>1586400</v>
      </c>
      <c r="L150" s="293">
        <v>200000</v>
      </c>
      <c r="M150" s="292">
        <f t="shared" si="21"/>
        <v>7.9320000000000004</v>
      </c>
    </row>
    <row r="151" spans="1:14" ht="12.75" customHeight="1" outlineLevel="1" x14ac:dyDescent="0.2">
      <c r="A151" s="291"/>
      <c r="B151" s="291"/>
      <c r="C151" s="291"/>
      <c r="D151" s="283" t="s">
        <v>137</v>
      </c>
      <c r="E151" s="284">
        <v>55380</v>
      </c>
      <c r="F151" s="285">
        <v>6.8750000000000006E-2</v>
      </c>
      <c r="G151" s="285">
        <v>6.9699999999999998E-2</v>
      </c>
      <c r="H151" s="285">
        <v>7.1400000000000005E-2</v>
      </c>
      <c r="I151" s="286">
        <v>6.9890300000000002E-2</v>
      </c>
      <c r="J151" s="286">
        <v>7.0099999999999996E-2</v>
      </c>
      <c r="K151" s="287">
        <v>1312600</v>
      </c>
      <c r="L151" s="293">
        <v>400000</v>
      </c>
      <c r="M151" s="292">
        <f t="shared" si="21"/>
        <v>3.2814999999999999</v>
      </c>
    </row>
    <row r="152" spans="1:14" s="1" customFormat="1" ht="12.75" customHeight="1" outlineLevel="1" x14ac:dyDescent="0.2">
      <c r="A152" s="398" t="s">
        <v>121</v>
      </c>
      <c r="B152" s="400"/>
      <c r="C152" s="400"/>
      <c r="D152" s="400"/>
      <c r="E152" s="400"/>
      <c r="F152" s="400"/>
      <c r="G152" s="400"/>
      <c r="H152" s="400"/>
      <c r="I152" s="400"/>
      <c r="J152" s="401"/>
      <c r="K152" s="294">
        <f>SUM(K145:K151)</f>
        <v>44989800</v>
      </c>
      <c r="L152" s="294">
        <f>SUM(L145:L151)</f>
        <v>16050000</v>
      </c>
      <c r="M152" s="295"/>
    </row>
    <row r="153" spans="1:14" s="269" customFormat="1" ht="12" customHeight="1" outlineLevel="1" x14ac:dyDescent="0.2">
      <c r="A153" s="259">
        <v>45029</v>
      </c>
      <c r="B153" s="259">
        <v>45034</v>
      </c>
      <c r="C153" s="260" t="s">
        <v>138</v>
      </c>
      <c r="D153" s="261" t="s">
        <v>175</v>
      </c>
      <c r="E153" s="262">
        <v>51940</v>
      </c>
      <c r="F153" s="263">
        <v>6.6750000000000004E-2</v>
      </c>
      <c r="G153" s="264"/>
      <c r="H153" s="265"/>
      <c r="I153" s="266"/>
      <c r="J153" s="266"/>
      <c r="K153" s="267">
        <v>110129</v>
      </c>
      <c r="L153" s="267">
        <v>110129</v>
      </c>
      <c r="M153" s="268"/>
    </row>
    <row r="154" spans="1:14" s="1" customFormat="1" ht="12.75" customHeight="1" outlineLevel="1" x14ac:dyDescent="0.2">
      <c r="A154" s="405" t="s">
        <v>121</v>
      </c>
      <c r="B154" s="407"/>
      <c r="C154" s="407"/>
      <c r="D154" s="407"/>
      <c r="E154" s="407"/>
      <c r="F154" s="407"/>
      <c r="G154" s="407"/>
      <c r="H154" s="407"/>
      <c r="I154" s="407"/>
      <c r="J154" s="408"/>
      <c r="K154" s="220">
        <f>SUM(K153)</f>
        <v>110129</v>
      </c>
      <c r="L154" s="220">
        <f>SUM(L153)</f>
        <v>110129</v>
      </c>
      <c r="M154" s="221"/>
    </row>
    <row r="155" spans="1:14" ht="12.75" customHeight="1" x14ac:dyDescent="0.2">
      <c r="A155" s="402" t="s">
        <v>181</v>
      </c>
      <c r="B155" s="403"/>
      <c r="C155" s="403"/>
      <c r="D155" s="403"/>
      <c r="E155" s="403"/>
      <c r="F155" s="403"/>
      <c r="G155" s="403"/>
      <c r="H155" s="403"/>
      <c r="I155" s="403"/>
      <c r="J155" s="404"/>
      <c r="K155" s="177">
        <f>K141+K134+K144+K152+K154</f>
        <v>93064506</v>
      </c>
      <c r="L155" s="177">
        <f>L141+L134+L144+L152+L154</f>
        <v>48354706</v>
      </c>
      <c r="M155" s="166"/>
    </row>
    <row r="156" spans="1:14" ht="12.75" customHeight="1" x14ac:dyDescent="0.2">
      <c r="A156" s="402" t="s">
        <v>252</v>
      </c>
      <c r="B156" s="403"/>
      <c r="C156" s="403"/>
      <c r="D156" s="403"/>
      <c r="E156" s="403"/>
      <c r="F156" s="403"/>
      <c r="G156" s="403"/>
      <c r="H156" s="403"/>
      <c r="I156" s="403"/>
      <c r="J156" s="404"/>
      <c r="K156" s="177">
        <f>K132+K155</f>
        <v>650193742.76900005</v>
      </c>
      <c r="L156" s="177">
        <f>L132+L155</f>
        <v>342107042.76899999</v>
      </c>
      <c r="M156" s="166"/>
    </row>
    <row r="157" spans="1:14" ht="12" customHeight="1" outlineLevel="1" x14ac:dyDescent="0.2">
      <c r="A157" s="164">
        <v>45055</v>
      </c>
      <c r="B157" s="164">
        <v>45057</v>
      </c>
      <c r="C157" s="160" t="s">
        <v>136</v>
      </c>
      <c r="D157" s="176" t="s">
        <v>184</v>
      </c>
      <c r="E157" s="158">
        <v>45118</v>
      </c>
      <c r="F157" s="167" t="s">
        <v>128</v>
      </c>
      <c r="G157" s="167">
        <v>4.8000000000000001E-2</v>
      </c>
      <c r="H157" s="167">
        <v>4.9000000000000002E-2</v>
      </c>
      <c r="I157" s="191">
        <v>4.8000000000000001E-2</v>
      </c>
      <c r="J157" s="191">
        <v>4.8000000000000001E-2</v>
      </c>
      <c r="K157" s="231">
        <v>2140000</v>
      </c>
      <c r="L157" s="234">
        <v>200000</v>
      </c>
      <c r="M157" s="172">
        <f>IF(L157=0,0,K157/L157)</f>
        <v>10.7</v>
      </c>
    </row>
    <row r="158" spans="1:14" ht="12.75" customHeight="1" outlineLevel="1" x14ac:dyDescent="0.2">
      <c r="A158" s="164"/>
      <c r="B158" s="158"/>
      <c r="C158" s="160"/>
      <c r="D158" s="176" t="s">
        <v>146</v>
      </c>
      <c r="E158" s="158">
        <v>45884</v>
      </c>
      <c r="F158" s="167">
        <v>5.3749999999999999E-2</v>
      </c>
      <c r="G158" s="167">
        <v>6.2300000000000001E-2</v>
      </c>
      <c r="H158" s="167">
        <v>6.4000000000000001E-2</v>
      </c>
      <c r="I158" s="165">
        <v>6.24954E-2</v>
      </c>
      <c r="J158" s="159">
        <v>6.25E-2</v>
      </c>
      <c r="K158" s="232">
        <v>14841000</v>
      </c>
      <c r="L158" s="235">
        <v>2850000</v>
      </c>
      <c r="M158" s="172">
        <f t="shared" ref="M158:M161" si="22">IF(L158=0,0,K158/L158)</f>
        <v>5.2073684210526316</v>
      </c>
    </row>
    <row r="159" spans="1:14" ht="12.75" customHeight="1" outlineLevel="1" x14ac:dyDescent="0.2">
      <c r="A159" s="156"/>
      <c r="B159" s="156"/>
      <c r="C159" s="156"/>
      <c r="D159" s="176" t="s">
        <v>50</v>
      </c>
      <c r="E159" s="158">
        <v>46402</v>
      </c>
      <c r="F159" s="167">
        <v>0.06</v>
      </c>
      <c r="G159" s="167">
        <v>6.3E-2</v>
      </c>
      <c r="H159" s="167">
        <v>6.5199999999999994E-2</v>
      </c>
      <c r="I159" s="165">
        <v>6.3311999999999993E-2</v>
      </c>
      <c r="J159" s="159">
        <v>6.3799999999999996E-2</v>
      </c>
      <c r="K159" s="232">
        <v>6314000</v>
      </c>
      <c r="L159" s="235">
        <v>3100000</v>
      </c>
      <c r="M159" s="172">
        <f t="shared" si="22"/>
        <v>2.036774193548387</v>
      </c>
    </row>
    <row r="160" spans="1:14" ht="12.75" customHeight="1" outlineLevel="1" x14ac:dyDescent="0.2">
      <c r="A160" s="156"/>
      <c r="B160" s="156"/>
      <c r="C160" s="156"/>
      <c r="D160" s="2" t="s">
        <v>153</v>
      </c>
      <c r="E160" s="158">
        <v>47376</v>
      </c>
      <c r="F160" s="204">
        <v>6.6250000000000003E-2</v>
      </c>
      <c r="G160" s="167">
        <v>6.4399999999999999E-2</v>
      </c>
      <c r="H160" s="167">
        <v>6.59E-2</v>
      </c>
      <c r="I160" s="165">
        <v>6.4510700000000004E-2</v>
      </c>
      <c r="J160" s="159">
        <v>6.4699999999999994E-2</v>
      </c>
      <c r="K160" s="232">
        <v>5191000</v>
      </c>
      <c r="L160" s="235">
        <v>1050000</v>
      </c>
      <c r="M160" s="172">
        <f t="shared" si="22"/>
        <v>4.9438095238095237</v>
      </c>
    </row>
    <row r="161" spans="1:15" ht="12.75" customHeight="1" outlineLevel="1" x14ac:dyDescent="0.2">
      <c r="A161" s="156"/>
      <c r="B161" s="211"/>
      <c r="C161" s="156"/>
      <c r="D161" s="176" t="s">
        <v>150</v>
      </c>
      <c r="E161" s="158">
        <v>49749</v>
      </c>
      <c r="F161" s="167">
        <v>6.8750000000000006E-2</v>
      </c>
      <c r="G161" s="167">
        <v>6.83E-2</v>
      </c>
      <c r="H161" s="167">
        <v>7.0000000000000007E-2</v>
      </c>
      <c r="I161" s="165">
        <v>6.8597199999999997E-2</v>
      </c>
      <c r="J161" s="198">
        <v>6.88E-2</v>
      </c>
      <c r="K161" s="232">
        <v>9848900</v>
      </c>
      <c r="L161" s="235">
        <v>1800000</v>
      </c>
      <c r="M161" s="172">
        <f t="shared" si="22"/>
        <v>5.4716111111111108</v>
      </c>
    </row>
    <row r="162" spans="1:15" ht="12.75" customHeight="1" outlineLevel="1" x14ac:dyDescent="0.2">
      <c r="A162" s="211"/>
      <c r="B162" s="211"/>
      <c r="C162" s="211"/>
      <c r="D162" s="212" t="s">
        <v>148</v>
      </c>
      <c r="E162" s="213">
        <v>53858</v>
      </c>
      <c r="F162" s="214">
        <v>6.7500000000000004E-2</v>
      </c>
      <c r="G162" s="214">
        <v>6.9199999999999998E-2</v>
      </c>
      <c r="H162" s="214">
        <v>7.0499999999999993E-2</v>
      </c>
      <c r="I162" s="227" t="s">
        <v>130</v>
      </c>
      <c r="J162" s="228" t="s">
        <v>130</v>
      </c>
      <c r="K162" s="233">
        <v>2392000</v>
      </c>
      <c r="L162" s="236" t="s">
        <v>130</v>
      </c>
      <c r="M162" s="230" t="s">
        <v>130</v>
      </c>
    </row>
    <row r="163" spans="1:15" s="1" customFormat="1" ht="12.75" customHeight="1" outlineLevel="1" x14ac:dyDescent="0.2">
      <c r="A163" s="409" t="s">
        <v>121</v>
      </c>
      <c r="B163" s="415"/>
      <c r="C163" s="410"/>
      <c r="D163" s="410"/>
      <c r="E163" s="410"/>
      <c r="F163" s="410"/>
      <c r="G163" s="410"/>
      <c r="H163" s="410"/>
      <c r="I163" s="410"/>
      <c r="J163" s="411"/>
      <c r="K163" s="220">
        <f>SUM(K157:K162)</f>
        <v>40726900</v>
      </c>
      <c r="L163" s="220">
        <f>SUM(L157:L162)</f>
        <v>9000000</v>
      </c>
      <c r="M163" s="270"/>
    </row>
    <row r="164" spans="1:15" ht="12" customHeight="1" outlineLevel="1" x14ac:dyDescent="0.2">
      <c r="A164" s="326">
        <v>45062</v>
      </c>
      <c r="B164" s="309">
        <v>45065</v>
      </c>
      <c r="C164" s="327" t="s">
        <v>136</v>
      </c>
      <c r="D164" s="283" t="s">
        <v>186</v>
      </c>
      <c r="E164" s="284">
        <v>45156</v>
      </c>
      <c r="F164" s="285" t="s">
        <v>128</v>
      </c>
      <c r="G164" s="285">
        <v>4.2700000000000002E-2</v>
      </c>
      <c r="H164" s="285">
        <v>4.48E-2</v>
      </c>
      <c r="I164" s="316">
        <v>4.2790000000000002E-2</v>
      </c>
      <c r="J164" s="316">
        <v>4.2999999999999997E-2</v>
      </c>
      <c r="K164" s="320">
        <v>1200000</v>
      </c>
      <c r="L164" s="329">
        <v>1000000</v>
      </c>
      <c r="M164" s="319">
        <f>IF(L164=0,0,K164/L164)</f>
        <v>1.2</v>
      </c>
    </row>
    <row r="165" spans="1:15" ht="12.75" customHeight="1" outlineLevel="1" x14ac:dyDescent="0.2">
      <c r="A165" s="326"/>
      <c r="B165" s="284"/>
      <c r="C165" s="327"/>
      <c r="D165" s="283" t="s">
        <v>156</v>
      </c>
      <c r="E165" s="284">
        <v>45323</v>
      </c>
      <c r="F165" s="285" t="s">
        <v>128</v>
      </c>
      <c r="G165" s="285">
        <v>5.2699999999999997E-2</v>
      </c>
      <c r="H165" s="285">
        <v>5.4699999999999999E-2</v>
      </c>
      <c r="I165" s="286">
        <v>5.2794099999999997E-2</v>
      </c>
      <c r="J165" s="321">
        <v>5.2900000000000003E-2</v>
      </c>
      <c r="K165" s="322">
        <v>2780000</v>
      </c>
      <c r="L165" s="330">
        <v>1600000</v>
      </c>
      <c r="M165" s="290">
        <f t="shared" ref="M165:M169" si="23">IF(L165=0,0,K165/L165)</f>
        <v>1.7375</v>
      </c>
    </row>
    <row r="166" spans="1:15" ht="12.75" customHeight="1" outlineLevel="1" x14ac:dyDescent="0.2">
      <c r="A166" s="305"/>
      <c r="B166" s="291"/>
      <c r="C166" s="306"/>
      <c r="D166" s="283" t="s">
        <v>139</v>
      </c>
      <c r="E166" s="284">
        <v>46980</v>
      </c>
      <c r="F166" s="285">
        <v>6.3750000000000001E-2</v>
      </c>
      <c r="G166" s="285">
        <v>6.0299999999999999E-2</v>
      </c>
      <c r="H166" s="285">
        <v>6.2899999999999998E-2</v>
      </c>
      <c r="I166" s="286">
        <v>6.0464200000000003E-2</v>
      </c>
      <c r="J166" s="321">
        <v>6.0499999999999998E-2</v>
      </c>
      <c r="K166" s="322">
        <v>13458500</v>
      </c>
      <c r="L166" s="330">
        <v>2300000</v>
      </c>
      <c r="M166" s="290">
        <f t="shared" si="23"/>
        <v>5.8515217391304351</v>
      </c>
    </row>
    <row r="167" spans="1:15" ht="12.75" customHeight="1" outlineLevel="1" x14ac:dyDescent="0.2">
      <c r="A167" s="305"/>
      <c r="B167" s="291"/>
      <c r="C167" s="306"/>
      <c r="D167" s="283" t="s">
        <v>140</v>
      </c>
      <c r="E167" s="284">
        <v>48625</v>
      </c>
      <c r="F167" s="285">
        <v>7.0000000000000007E-2</v>
      </c>
      <c r="G167" s="285">
        <v>6.3399999999999998E-2</v>
      </c>
      <c r="H167" s="285">
        <v>6.5500000000000003E-2</v>
      </c>
      <c r="I167" s="286">
        <v>6.3636200000000004E-2</v>
      </c>
      <c r="J167" s="321">
        <v>6.3700000000000007E-2</v>
      </c>
      <c r="K167" s="322">
        <v>23519400</v>
      </c>
      <c r="L167" s="330">
        <v>2800000</v>
      </c>
      <c r="M167" s="290">
        <f t="shared" si="23"/>
        <v>8.3997857142857146</v>
      </c>
    </row>
    <row r="168" spans="1:15" ht="12.75" customHeight="1" outlineLevel="1" x14ac:dyDescent="0.2">
      <c r="A168" s="305"/>
      <c r="B168" s="291"/>
      <c r="C168" s="306"/>
      <c r="D168" s="283" t="s">
        <v>142</v>
      </c>
      <c r="E168" s="284">
        <v>50571</v>
      </c>
      <c r="F168" s="285">
        <v>7.1249999999999994E-2</v>
      </c>
      <c r="G168" s="285">
        <v>6.6000000000000003E-2</v>
      </c>
      <c r="H168" s="285">
        <v>6.8000000000000005E-2</v>
      </c>
      <c r="I168" s="286">
        <v>6.6293699999999997E-2</v>
      </c>
      <c r="J168" s="324">
        <v>6.6400000000000001E-2</v>
      </c>
      <c r="K168" s="322">
        <v>15406300</v>
      </c>
      <c r="L168" s="330">
        <v>4650000</v>
      </c>
      <c r="M168" s="290">
        <f t="shared" si="23"/>
        <v>3.3131827956989248</v>
      </c>
    </row>
    <row r="169" spans="1:15" ht="12.75" customHeight="1" outlineLevel="1" x14ac:dyDescent="0.2">
      <c r="A169" s="305"/>
      <c r="B169" s="291"/>
      <c r="C169" s="306"/>
      <c r="D169" s="283" t="s">
        <v>141</v>
      </c>
      <c r="E169" s="284">
        <v>52397</v>
      </c>
      <c r="F169" s="285">
        <v>7.1249999999999994E-2</v>
      </c>
      <c r="G169" s="285">
        <v>6.6799999999999998E-2</v>
      </c>
      <c r="H169" s="285">
        <v>6.8599999999999994E-2</v>
      </c>
      <c r="I169" s="321">
        <v>6.6921999999999995E-2</v>
      </c>
      <c r="J169" s="324">
        <v>6.7000000000000004E-2</v>
      </c>
      <c r="K169" s="322">
        <v>5332100</v>
      </c>
      <c r="L169" s="330">
        <v>1750000</v>
      </c>
      <c r="M169" s="290">
        <f t="shared" si="23"/>
        <v>3.0469142857142857</v>
      </c>
    </row>
    <row r="170" spans="1:15" ht="12.75" customHeight="1" outlineLevel="1" x14ac:dyDescent="0.2">
      <c r="A170" s="305"/>
      <c r="B170" s="328"/>
      <c r="C170" s="306"/>
      <c r="D170" s="283" t="s">
        <v>137</v>
      </c>
      <c r="E170" s="284">
        <v>55380</v>
      </c>
      <c r="F170" s="285">
        <v>6.8750000000000006E-2</v>
      </c>
      <c r="G170" s="285">
        <v>6.8199999999999997E-2</v>
      </c>
      <c r="H170" s="285">
        <v>7.0000000000000007E-2</v>
      </c>
      <c r="I170" s="325">
        <v>6.8599099999999996E-2</v>
      </c>
      <c r="J170" s="324">
        <v>6.88E-2</v>
      </c>
      <c r="K170" s="323">
        <v>3752500</v>
      </c>
      <c r="L170" s="331">
        <v>900000</v>
      </c>
      <c r="M170" s="332">
        <f>IF(L170=0,0,K170/L170)</f>
        <v>4.1694444444444443</v>
      </c>
    </row>
    <row r="171" spans="1:15" s="1" customFormat="1" ht="12" customHeight="1" outlineLevel="1" x14ac:dyDescent="0.2">
      <c r="A171" s="398" t="s">
        <v>121</v>
      </c>
      <c r="B171" s="399"/>
      <c r="C171" s="400"/>
      <c r="D171" s="400"/>
      <c r="E171" s="400"/>
      <c r="F171" s="400"/>
      <c r="G171" s="400"/>
      <c r="H171" s="400"/>
      <c r="I171" s="400"/>
      <c r="J171" s="401"/>
      <c r="K171" s="294">
        <f>SUM(K164:K170)</f>
        <v>65448800</v>
      </c>
      <c r="L171" s="294">
        <f>SUM(L164:L170)</f>
        <v>15000000</v>
      </c>
      <c r="M171" s="307"/>
    </row>
    <row r="172" spans="1:15" s="187" customFormat="1" ht="17.25" customHeight="1" outlineLevel="1" x14ac:dyDescent="0.2">
      <c r="A172" s="271">
        <v>45068</v>
      </c>
      <c r="B172" s="271">
        <v>45071</v>
      </c>
      <c r="C172" s="272" t="s">
        <v>138</v>
      </c>
      <c r="D172" s="273" t="s">
        <v>165</v>
      </c>
      <c r="E172" s="274">
        <v>47133</v>
      </c>
      <c r="F172" s="275">
        <v>6.4000000000000001E-2</v>
      </c>
      <c r="G172" s="276"/>
      <c r="H172" s="276"/>
      <c r="I172" s="277">
        <v>6.1499999999999999E-2</v>
      </c>
      <c r="J172" s="276"/>
      <c r="K172" s="278">
        <v>259582</v>
      </c>
      <c r="L172" s="334">
        <v>259582</v>
      </c>
      <c r="M172" s="319">
        <f t="shared" ref="M172" si="24">IF(L172=0,0,K172/L172)</f>
        <v>1</v>
      </c>
      <c r="O172" s="189"/>
    </row>
    <row r="173" spans="1:15" ht="12.75" customHeight="1" outlineLevel="1" x14ac:dyDescent="0.2">
      <c r="A173" s="291"/>
      <c r="B173" s="284"/>
      <c r="C173" s="282"/>
      <c r="D173" s="283" t="s">
        <v>164</v>
      </c>
      <c r="E173" s="284">
        <v>48228</v>
      </c>
      <c r="F173" s="285">
        <v>0.03</v>
      </c>
      <c r="G173" s="285"/>
      <c r="H173" s="285"/>
      <c r="I173" s="286">
        <v>4.4299999999999999E-2</v>
      </c>
      <c r="J173" s="286"/>
      <c r="K173" s="293" t="s">
        <v>253</v>
      </c>
      <c r="L173" s="335" t="s">
        <v>253</v>
      </c>
      <c r="M173" s="292"/>
    </row>
    <row r="174" spans="1:15" ht="12.75" customHeight="1" outlineLevel="1" x14ac:dyDescent="0.2">
      <c r="A174" s="291"/>
      <c r="B174" s="291"/>
      <c r="C174" s="282"/>
      <c r="D174" s="283"/>
      <c r="E174" s="284"/>
      <c r="F174" s="285"/>
      <c r="G174" s="285"/>
      <c r="H174" s="285"/>
      <c r="I174" s="286"/>
      <c r="J174" s="286"/>
      <c r="K174" s="293">
        <f>3187000*14905/1000000</f>
        <v>47502.235000000001</v>
      </c>
      <c r="L174" s="335">
        <f>3187000*14905/1000000</f>
        <v>47502.235000000001</v>
      </c>
      <c r="M174" s="332">
        <f t="shared" ref="M174" si="25">IF(L174=0,0,K174/L174)</f>
        <v>1</v>
      </c>
    </row>
    <row r="175" spans="1:15" s="187" customFormat="1" ht="13.5" customHeight="1" outlineLevel="1" x14ac:dyDescent="0.2">
      <c r="A175" s="427" t="s">
        <v>121</v>
      </c>
      <c r="B175" s="428"/>
      <c r="C175" s="428"/>
      <c r="D175" s="428"/>
      <c r="E175" s="428"/>
      <c r="F175" s="428"/>
      <c r="G175" s="428"/>
      <c r="H175" s="428"/>
      <c r="I175" s="428"/>
      <c r="J175" s="429"/>
      <c r="K175" s="280">
        <f>SUM(K172,K174)</f>
        <v>307084.23499999999</v>
      </c>
      <c r="L175" s="280">
        <f>SUM(L172,L174)</f>
        <v>307084.23499999999</v>
      </c>
      <c r="M175" s="336"/>
    </row>
    <row r="176" spans="1:15" ht="12" customHeight="1" outlineLevel="1" x14ac:dyDescent="0.2">
      <c r="A176" s="164">
        <v>45069</v>
      </c>
      <c r="B176" s="164">
        <v>45071</v>
      </c>
      <c r="C176" s="160" t="s">
        <v>136</v>
      </c>
      <c r="D176" s="176" t="s">
        <v>184</v>
      </c>
      <c r="E176" s="158">
        <v>45118</v>
      </c>
      <c r="F176" s="167" t="s">
        <v>128</v>
      </c>
      <c r="G176" s="167">
        <v>4.7399999999999998E-2</v>
      </c>
      <c r="H176" s="167">
        <v>4.8500000000000001E-2</v>
      </c>
      <c r="I176" s="191">
        <v>4.7460000000000002E-2</v>
      </c>
      <c r="J176" s="191">
        <v>4.7500000000000001E-2</v>
      </c>
      <c r="K176" s="194">
        <v>6361000</v>
      </c>
      <c r="L176" s="193">
        <v>1000000</v>
      </c>
      <c r="M176" s="172">
        <f>IF(L176=0,0,K176/L176)</f>
        <v>6.3609999999999998</v>
      </c>
    </row>
    <row r="177" spans="1:13" ht="12.75" customHeight="1" outlineLevel="1" x14ac:dyDescent="0.2">
      <c r="A177" s="164"/>
      <c r="B177" s="158"/>
      <c r="C177" s="160"/>
      <c r="D177" s="176" t="s">
        <v>146</v>
      </c>
      <c r="E177" s="158">
        <v>45884</v>
      </c>
      <c r="F177" s="167">
        <v>5.3749999999999999E-2</v>
      </c>
      <c r="G177" s="167">
        <v>5.9499999999999997E-2</v>
      </c>
      <c r="H177" s="167">
        <v>6.1499999999999999E-2</v>
      </c>
      <c r="I177" s="165">
        <v>5.9681600000000001E-2</v>
      </c>
      <c r="J177" s="159">
        <v>5.9700000000000003E-2</v>
      </c>
      <c r="K177" s="196">
        <v>15538000</v>
      </c>
      <c r="L177" s="195">
        <v>2150000</v>
      </c>
      <c r="M177" s="172">
        <f t="shared" ref="M177:M181" si="26">IF(L177=0,0,K177/L177)</f>
        <v>7.2269767441860466</v>
      </c>
    </row>
    <row r="178" spans="1:13" ht="12.75" customHeight="1" outlineLevel="1" x14ac:dyDescent="0.2">
      <c r="A178" s="156"/>
      <c r="B178" s="156"/>
      <c r="C178" s="156"/>
      <c r="D178" s="176" t="s">
        <v>50</v>
      </c>
      <c r="E178" s="158">
        <v>46402</v>
      </c>
      <c r="F178" s="167">
        <v>0.06</v>
      </c>
      <c r="G178" s="167">
        <v>0.06</v>
      </c>
      <c r="H178" s="167">
        <v>6.3E-2</v>
      </c>
      <c r="I178" s="165">
        <v>0.06</v>
      </c>
      <c r="J178" s="159">
        <v>0.06</v>
      </c>
      <c r="K178" s="196">
        <v>7265000</v>
      </c>
      <c r="L178" s="195">
        <v>2350000</v>
      </c>
      <c r="M178" s="172">
        <f t="shared" si="26"/>
        <v>3.0914893617021275</v>
      </c>
    </row>
    <row r="179" spans="1:13" ht="12.75" customHeight="1" outlineLevel="1" x14ac:dyDescent="0.2">
      <c r="A179" s="156"/>
      <c r="B179" s="156"/>
      <c r="C179" s="156"/>
      <c r="D179" s="176" t="s">
        <v>150</v>
      </c>
      <c r="E179" s="158">
        <v>49749</v>
      </c>
      <c r="F179" s="167">
        <v>6.8750000000000006E-2</v>
      </c>
      <c r="G179" s="167">
        <v>6.7199999999999996E-2</v>
      </c>
      <c r="H179" s="167">
        <v>6.9199999999999998E-2</v>
      </c>
      <c r="I179" s="165">
        <v>6.7588599999999999E-2</v>
      </c>
      <c r="J179" s="159">
        <v>6.7799999999999999E-2</v>
      </c>
      <c r="K179" s="196">
        <v>11896000</v>
      </c>
      <c r="L179" s="195">
        <v>900000</v>
      </c>
      <c r="M179" s="172">
        <f t="shared" si="26"/>
        <v>13.217777777777778</v>
      </c>
    </row>
    <row r="180" spans="1:13" ht="12.75" customHeight="1" outlineLevel="1" x14ac:dyDescent="0.2">
      <c r="A180" s="156"/>
      <c r="B180" s="211"/>
      <c r="C180" s="156"/>
      <c r="D180" s="176" t="s">
        <v>147</v>
      </c>
      <c r="E180" s="158">
        <v>54589</v>
      </c>
      <c r="F180" s="167">
        <v>6.5000000000000002E-2</v>
      </c>
      <c r="G180" s="167">
        <v>6.7299999999999999E-2</v>
      </c>
      <c r="H180" s="167">
        <v>7.0499999999999993E-2</v>
      </c>
      <c r="I180" s="165">
        <v>6.7405000000000007E-2</v>
      </c>
      <c r="J180" s="198">
        <v>6.8000000000000005E-2</v>
      </c>
      <c r="K180" s="196">
        <v>10934400</v>
      </c>
      <c r="L180" s="195">
        <v>100000</v>
      </c>
      <c r="M180" s="172">
        <f t="shared" si="26"/>
        <v>109.34399999999999</v>
      </c>
    </row>
    <row r="181" spans="1:13" ht="12.75" customHeight="1" outlineLevel="1" x14ac:dyDescent="0.2">
      <c r="A181" s="211"/>
      <c r="B181" s="211"/>
      <c r="C181" s="211"/>
      <c r="D181" s="212" t="s">
        <v>148</v>
      </c>
      <c r="E181" s="213">
        <v>53858</v>
      </c>
      <c r="F181" s="214">
        <v>6.7500000000000004E-2</v>
      </c>
      <c r="G181" s="214">
        <v>6.7900000000000002E-2</v>
      </c>
      <c r="H181" s="214">
        <v>7.8E-2</v>
      </c>
      <c r="I181" s="227">
        <v>6.8191100000000004E-2</v>
      </c>
      <c r="J181" s="228">
        <v>6.8400000000000002E-2</v>
      </c>
      <c r="K181" s="217">
        <v>2758600</v>
      </c>
      <c r="L181" s="229">
        <v>500000</v>
      </c>
      <c r="M181" s="172">
        <f t="shared" si="26"/>
        <v>5.5171999999999999</v>
      </c>
    </row>
    <row r="182" spans="1:13" s="1" customFormat="1" ht="12.75" customHeight="1" outlineLevel="1" x14ac:dyDescent="0.2">
      <c r="A182" s="409" t="s">
        <v>121</v>
      </c>
      <c r="B182" s="410"/>
      <c r="C182" s="410"/>
      <c r="D182" s="410"/>
      <c r="E182" s="410"/>
      <c r="F182" s="410"/>
      <c r="G182" s="410"/>
      <c r="H182" s="410"/>
      <c r="I182" s="410"/>
      <c r="J182" s="411"/>
      <c r="K182" s="220">
        <f>SUM(K176:K181)</f>
        <v>54753000</v>
      </c>
      <c r="L182" s="220">
        <f>SUM(L176:L181)</f>
        <v>7000000</v>
      </c>
      <c r="M182" s="221"/>
    </row>
    <row r="183" spans="1:13" ht="12" customHeight="1" outlineLevel="1" x14ac:dyDescent="0.2">
      <c r="A183" s="205">
        <v>45069</v>
      </c>
      <c r="B183" s="205">
        <v>45071</v>
      </c>
      <c r="C183" s="206" t="s">
        <v>138</v>
      </c>
      <c r="D183" s="207" t="s">
        <v>189</v>
      </c>
      <c r="E183" s="225">
        <v>49018</v>
      </c>
      <c r="F183" s="224">
        <v>6.3750000000000001E-2</v>
      </c>
      <c r="G183" s="226"/>
      <c r="H183" s="208"/>
      <c r="I183" s="209"/>
      <c r="J183" s="209"/>
      <c r="K183" s="237">
        <v>1755400</v>
      </c>
      <c r="L183" s="237">
        <v>1755400</v>
      </c>
      <c r="M183" s="210"/>
    </row>
    <row r="184" spans="1:13" s="1" customFormat="1" ht="12.75" customHeight="1" outlineLevel="1" x14ac:dyDescent="0.2">
      <c r="A184" s="405" t="s">
        <v>121</v>
      </c>
      <c r="B184" s="407"/>
      <c r="C184" s="407"/>
      <c r="D184" s="407"/>
      <c r="E184" s="407"/>
      <c r="F184" s="407"/>
      <c r="G184" s="407"/>
      <c r="H184" s="407"/>
      <c r="I184" s="407"/>
      <c r="J184" s="408"/>
      <c r="K184" s="220">
        <f>SUM(K183)</f>
        <v>1755400</v>
      </c>
      <c r="L184" s="220">
        <f>SUM(L183)</f>
        <v>1755400</v>
      </c>
      <c r="M184" s="270"/>
    </row>
    <row r="185" spans="1:13" s="337" customFormat="1" ht="12.75" customHeight="1" outlineLevel="1" x14ac:dyDescent="0.2">
      <c r="A185" s="284">
        <v>45065</v>
      </c>
      <c r="B185" s="284">
        <v>45072</v>
      </c>
      <c r="C185" s="282" t="s">
        <v>158</v>
      </c>
      <c r="D185" s="283" t="s">
        <v>254</v>
      </c>
      <c r="E185" s="284">
        <v>46168</v>
      </c>
      <c r="F185" s="285">
        <v>7.4000000000000003E-3</v>
      </c>
      <c r="G185" s="285"/>
      <c r="H185" s="285"/>
      <c r="I185" s="286">
        <v>7.4000000000000003E-3</v>
      </c>
      <c r="J185" s="286"/>
      <c r="K185" s="293" t="s">
        <v>255</v>
      </c>
      <c r="L185" s="335" t="s">
        <v>255</v>
      </c>
      <c r="M185" s="339"/>
    </row>
    <row r="186" spans="1:13" s="337" customFormat="1" ht="12.75" customHeight="1" outlineLevel="1" x14ac:dyDescent="0.2">
      <c r="A186" s="291"/>
      <c r="B186" s="291"/>
      <c r="C186" s="282"/>
      <c r="D186" s="283"/>
      <c r="E186" s="284"/>
      <c r="F186" s="285"/>
      <c r="G186" s="285"/>
      <c r="H186" s="285"/>
      <c r="I186" s="286"/>
      <c r="J186" s="286"/>
      <c r="K186" s="293">
        <f>46900000000*107.2558/1000000</f>
        <v>5030297.0199999996</v>
      </c>
      <c r="L186" s="335">
        <f>46900000000*107.2558/1000000</f>
        <v>5030297.0199999996</v>
      </c>
      <c r="M186" s="290">
        <f t="shared" ref="M186" si="27">IF(L186=0,0,K186/L186)</f>
        <v>1</v>
      </c>
    </row>
    <row r="187" spans="1:13" s="337" customFormat="1" ht="12.75" customHeight="1" outlineLevel="1" x14ac:dyDescent="0.2">
      <c r="A187" s="291"/>
      <c r="B187" s="284">
        <v>45072</v>
      </c>
      <c r="C187" s="282"/>
      <c r="D187" s="283" t="s">
        <v>256</v>
      </c>
      <c r="E187" s="284">
        <v>46899</v>
      </c>
      <c r="F187" s="285">
        <v>9.7999999999999997E-3</v>
      </c>
      <c r="G187" s="285"/>
      <c r="H187" s="285"/>
      <c r="I187" s="286">
        <v>9.7999999999999997E-3</v>
      </c>
      <c r="J187" s="286"/>
      <c r="K187" s="293" t="s">
        <v>257</v>
      </c>
      <c r="L187" s="335" t="s">
        <v>257</v>
      </c>
      <c r="M187" s="292"/>
    </row>
    <row r="188" spans="1:13" s="337" customFormat="1" ht="12.75" customHeight="1" outlineLevel="1" x14ac:dyDescent="0.2">
      <c r="A188" s="291"/>
      <c r="B188" s="291"/>
      <c r="C188" s="282"/>
      <c r="D188" s="283"/>
      <c r="E188" s="284"/>
      <c r="F188" s="285"/>
      <c r="G188" s="285"/>
      <c r="H188" s="285"/>
      <c r="I188" s="286"/>
      <c r="J188" s="286"/>
      <c r="K188" s="293">
        <f>37200000000*107.2558/1000000</f>
        <v>3989915.76</v>
      </c>
      <c r="L188" s="335">
        <f>37200000000*107.2558/1000000</f>
        <v>3989915.76</v>
      </c>
      <c r="M188" s="290">
        <f t="shared" ref="M188" si="28">IF(L188=0,0,K188/L188)</f>
        <v>1</v>
      </c>
    </row>
    <row r="189" spans="1:13" s="337" customFormat="1" ht="12.75" customHeight="1" outlineLevel="1" x14ac:dyDescent="0.2">
      <c r="A189" s="291"/>
      <c r="B189" s="284">
        <v>45072</v>
      </c>
      <c r="C189" s="282"/>
      <c r="D189" s="283" t="s">
        <v>258</v>
      </c>
      <c r="E189" s="284">
        <v>47627</v>
      </c>
      <c r="F189" s="285">
        <v>1.2E-2</v>
      </c>
      <c r="G189" s="285"/>
      <c r="H189" s="285"/>
      <c r="I189" s="286">
        <v>1.2E-2</v>
      </c>
      <c r="J189" s="286"/>
      <c r="K189" s="293" t="s">
        <v>259</v>
      </c>
      <c r="L189" s="335" t="s">
        <v>259</v>
      </c>
      <c r="M189" s="292"/>
    </row>
    <row r="190" spans="1:13" s="337" customFormat="1" ht="12.75" customHeight="1" outlineLevel="1" x14ac:dyDescent="0.2">
      <c r="A190" s="291"/>
      <c r="B190" s="291"/>
      <c r="C190" s="282"/>
      <c r="D190" s="283"/>
      <c r="E190" s="284"/>
      <c r="F190" s="285"/>
      <c r="G190" s="285"/>
      <c r="H190" s="285"/>
      <c r="I190" s="286"/>
      <c r="J190" s="286"/>
      <c r="K190" s="293">
        <f>14700000000*107.2558/1000000</f>
        <v>1576660.26</v>
      </c>
      <c r="L190" s="335">
        <f>14700000000*107.2558/1000000</f>
        <v>1576660.26</v>
      </c>
      <c r="M190" s="290">
        <f t="shared" ref="M190" si="29">IF(L190=0,0,K190/L190)</f>
        <v>1</v>
      </c>
    </row>
    <row r="191" spans="1:13" s="337" customFormat="1" ht="12.75" customHeight="1" outlineLevel="1" x14ac:dyDescent="0.2">
      <c r="A191" s="291"/>
      <c r="B191" s="284">
        <v>45072</v>
      </c>
      <c r="C191" s="282"/>
      <c r="D191" s="283" t="s">
        <v>260</v>
      </c>
      <c r="E191" s="284">
        <v>48725</v>
      </c>
      <c r="F191" s="285">
        <v>1.43E-2</v>
      </c>
      <c r="G191" s="285"/>
      <c r="H191" s="285"/>
      <c r="I191" s="286">
        <v>1.43E-2</v>
      </c>
      <c r="J191" s="286"/>
      <c r="K191" s="293" t="s">
        <v>261</v>
      </c>
      <c r="L191" s="335" t="s">
        <v>261</v>
      </c>
      <c r="M191" s="292"/>
    </row>
    <row r="192" spans="1:13" s="337" customFormat="1" ht="12.75" customHeight="1" outlineLevel="1" x14ac:dyDescent="0.2">
      <c r="A192" s="291"/>
      <c r="B192" s="291"/>
      <c r="C192" s="282"/>
      <c r="D192" s="283"/>
      <c r="E192" s="284"/>
      <c r="F192" s="285"/>
      <c r="G192" s="285"/>
      <c r="H192" s="285"/>
      <c r="I192" s="286"/>
      <c r="J192" s="286"/>
      <c r="K192" s="293">
        <f>6000000000*107.2558/1000000</f>
        <v>643534.80000000005</v>
      </c>
      <c r="L192" s="335">
        <f>6000000000*107.2558/1000000</f>
        <v>643534.80000000005</v>
      </c>
      <c r="M192" s="332">
        <f t="shared" ref="M192" si="30">IF(L192=0,0,K192/L192)</f>
        <v>1</v>
      </c>
    </row>
    <row r="193" spans="1:13" s="338" customFormat="1" ht="12.75" customHeight="1" outlineLevel="1" x14ac:dyDescent="0.2">
      <c r="A193" s="398" t="s">
        <v>121</v>
      </c>
      <c r="B193" s="416"/>
      <c r="C193" s="400"/>
      <c r="D193" s="400"/>
      <c r="E193" s="400"/>
      <c r="F193" s="400"/>
      <c r="G193" s="400"/>
      <c r="H193" s="400"/>
      <c r="I193" s="400"/>
      <c r="J193" s="401"/>
      <c r="K193" s="294">
        <f>SUM(K186,K188,K190,K192)</f>
        <v>11240407.84</v>
      </c>
      <c r="L193" s="294">
        <f>SUM(L186,L188,L190,L192)</f>
        <v>11240407.84</v>
      </c>
      <c r="M193" s="307"/>
    </row>
    <row r="194" spans="1:13" ht="12" customHeight="1" outlineLevel="1" x14ac:dyDescent="0.2">
      <c r="A194" s="326">
        <v>45075</v>
      </c>
      <c r="B194" s="309">
        <v>45077</v>
      </c>
      <c r="C194" s="327" t="s">
        <v>136</v>
      </c>
      <c r="D194" s="283" t="s">
        <v>200</v>
      </c>
      <c r="E194" s="284">
        <v>45167</v>
      </c>
      <c r="F194" s="285" t="s">
        <v>128</v>
      </c>
      <c r="G194" s="316" t="s">
        <v>130</v>
      </c>
      <c r="H194" s="316" t="s">
        <v>130</v>
      </c>
      <c r="I194" s="316" t="s">
        <v>130</v>
      </c>
      <c r="J194" s="316" t="s">
        <v>130</v>
      </c>
      <c r="K194" s="316" t="s">
        <v>130</v>
      </c>
      <c r="L194" s="342" t="s">
        <v>130</v>
      </c>
      <c r="M194" s="319" t="s">
        <v>130</v>
      </c>
    </row>
    <row r="195" spans="1:13" ht="12.75" customHeight="1" outlineLevel="1" x14ac:dyDescent="0.2">
      <c r="A195" s="326"/>
      <c r="B195" s="284"/>
      <c r="C195" s="327"/>
      <c r="D195" s="283" t="s">
        <v>209</v>
      </c>
      <c r="E195" s="284">
        <v>45441</v>
      </c>
      <c r="F195" s="285" t="s">
        <v>128</v>
      </c>
      <c r="G195" s="285">
        <v>5.1999999999999998E-2</v>
      </c>
      <c r="H195" s="285">
        <v>5.4899999999999997E-2</v>
      </c>
      <c r="I195" s="286">
        <v>5.2815000000000001E-2</v>
      </c>
      <c r="J195" s="321">
        <v>5.3699999999999998E-2</v>
      </c>
      <c r="K195" s="322">
        <v>3000000</v>
      </c>
      <c r="L195" s="330">
        <v>2000000</v>
      </c>
      <c r="M195" s="290">
        <f t="shared" ref="M195:M200" si="31">IF(L195=0,0,K195/L195)</f>
        <v>1.5</v>
      </c>
    </row>
    <row r="196" spans="1:13" ht="12.75" customHeight="1" outlineLevel="1" x14ac:dyDescent="0.2">
      <c r="A196" s="305"/>
      <c r="B196" s="291"/>
      <c r="C196" s="306"/>
      <c r="D196" s="283" t="s">
        <v>139</v>
      </c>
      <c r="E196" s="284">
        <v>46980</v>
      </c>
      <c r="F196" s="285">
        <v>6.3750000000000001E-2</v>
      </c>
      <c r="G196" s="285">
        <v>0.06</v>
      </c>
      <c r="H196" s="285">
        <v>6.1499999999999999E-2</v>
      </c>
      <c r="I196" s="286">
        <v>6.0187999999999998E-2</v>
      </c>
      <c r="J196" s="340">
        <v>6.0499999999999998E-2</v>
      </c>
      <c r="K196" s="322">
        <v>10704000</v>
      </c>
      <c r="L196" s="330">
        <v>4350000</v>
      </c>
      <c r="M196" s="290">
        <f t="shared" si="31"/>
        <v>2.460689655172414</v>
      </c>
    </row>
    <row r="197" spans="1:13" ht="12.75" customHeight="1" outlineLevel="1" x14ac:dyDescent="0.2">
      <c r="A197" s="305"/>
      <c r="B197" s="291"/>
      <c r="C197" s="306"/>
      <c r="D197" s="283" t="s">
        <v>157</v>
      </c>
      <c r="E197" s="284">
        <v>47771</v>
      </c>
      <c r="F197" s="285">
        <v>7.3749999999999996E-2</v>
      </c>
      <c r="G197" s="285">
        <v>6.3500000000000001E-2</v>
      </c>
      <c r="H197" s="285">
        <v>6.5699999999999995E-2</v>
      </c>
      <c r="I197" s="341" t="s">
        <v>130</v>
      </c>
      <c r="J197" s="341" t="s">
        <v>130</v>
      </c>
      <c r="K197" s="322">
        <v>10952000</v>
      </c>
      <c r="L197" s="343" t="s">
        <v>130</v>
      </c>
      <c r="M197" s="290"/>
    </row>
    <row r="198" spans="1:13" ht="12.75" customHeight="1" outlineLevel="1" x14ac:dyDescent="0.2">
      <c r="A198" s="305"/>
      <c r="B198" s="291"/>
      <c r="C198" s="306"/>
      <c r="D198" s="283" t="s">
        <v>140</v>
      </c>
      <c r="E198" s="284">
        <v>48625</v>
      </c>
      <c r="F198" s="285">
        <v>7.0000000000000007E-2</v>
      </c>
      <c r="G198" s="285">
        <v>6.3700000000000007E-2</v>
      </c>
      <c r="H198" s="285">
        <v>6.5000000000000002E-2</v>
      </c>
      <c r="I198" s="286">
        <v>6.3871399999999995E-2</v>
      </c>
      <c r="J198" s="321">
        <v>6.3899999999999998E-2</v>
      </c>
      <c r="K198" s="322">
        <v>14722000</v>
      </c>
      <c r="L198" s="330">
        <v>3500000</v>
      </c>
      <c r="M198" s="290">
        <f t="shared" si="31"/>
        <v>4.2062857142857144</v>
      </c>
    </row>
    <row r="199" spans="1:13" ht="12.75" customHeight="1" outlineLevel="1" x14ac:dyDescent="0.2">
      <c r="A199" s="305"/>
      <c r="B199" s="291"/>
      <c r="C199" s="306"/>
      <c r="D199" s="283" t="s">
        <v>142</v>
      </c>
      <c r="E199" s="284">
        <v>50571</v>
      </c>
      <c r="F199" s="285">
        <v>7.1249999999999994E-2</v>
      </c>
      <c r="G199" s="285">
        <v>6.6699999999999995E-2</v>
      </c>
      <c r="H199" s="285">
        <v>6.8000000000000005E-2</v>
      </c>
      <c r="I199" s="286">
        <v>6.6776799999999997E-2</v>
      </c>
      <c r="J199" s="324">
        <v>6.6799999999999998E-2</v>
      </c>
      <c r="K199" s="322">
        <v>10934200</v>
      </c>
      <c r="L199" s="330">
        <v>1600000</v>
      </c>
      <c r="M199" s="290">
        <f t="shared" si="31"/>
        <v>6.8338749999999999</v>
      </c>
    </row>
    <row r="200" spans="1:13" ht="12.75" customHeight="1" outlineLevel="1" x14ac:dyDescent="0.2">
      <c r="A200" s="305"/>
      <c r="B200" s="291"/>
      <c r="C200" s="306"/>
      <c r="D200" s="283" t="s">
        <v>141</v>
      </c>
      <c r="E200" s="284">
        <v>52397</v>
      </c>
      <c r="F200" s="285">
        <v>7.1249999999999994E-2</v>
      </c>
      <c r="G200" s="285">
        <v>6.7000000000000004E-2</v>
      </c>
      <c r="H200" s="285">
        <v>6.8400000000000002E-2</v>
      </c>
      <c r="I200" s="321">
        <v>6.7000000000000004E-2</v>
      </c>
      <c r="J200" s="324">
        <v>6.7000000000000004E-2</v>
      </c>
      <c r="K200" s="322">
        <v>5236100</v>
      </c>
      <c r="L200" s="330">
        <v>2200000</v>
      </c>
      <c r="M200" s="290">
        <f t="shared" si="31"/>
        <v>2.3800454545454546</v>
      </c>
    </row>
    <row r="201" spans="1:13" ht="12.75" customHeight="1" outlineLevel="1" x14ac:dyDescent="0.2">
      <c r="A201" s="305"/>
      <c r="B201" s="328"/>
      <c r="C201" s="306"/>
      <c r="D201" s="283" t="s">
        <v>137</v>
      </c>
      <c r="E201" s="284">
        <v>55380</v>
      </c>
      <c r="F201" s="285">
        <v>6.8750000000000006E-2</v>
      </c>
      <c r="G201" s="285">
        <v>6.8099999999999994E-2</v>
      </c>
      <c r="H201" s="285">
        <v>6.9900000000000004E-2</v>
      </c>
      <c r="I201" s="325">
        <v>6.8220600000000006E-2</v>
      </c>
      <c r="J201" s="324">
        <v>6.83E-2</v>
      </c>
      <c r="K201" s="323">
        <v>2895100</v>
      </c>
      <c r="L201" s="331">
        <v>1350000</v>
      </c>
      <c r="M201" s="332">
        <f>IF(L201=0,0,K201/L201)</f>
        <v>2.1445185185185185</v>
      </c>
    </row>
    <row r="202" spans="1:13" s="1" customFormat="1" ht="12" customHeight="1" outlineLevel="1" x14ac:dyDescent="0.2">
      <c r="A202" s="398" t="s">
        <v>121</v>
      </c>
      <c r="B202" s="399"/>
      <c r="C202" s="400"/>
      <c r="D202" s="400"/>
      <c r="E202" s="400"/>
      <c r="F202" s="400"/>
      <c r="G202" s="400"/>
      <c r="H202" s="400"/>
      <c r="I202" s="400"/>
      <c r="J202" s="401"/>
      <c r="K202" s="294">
        <f>SUM(K194:K201)</f>
        <v>58443400</v>
      </c>
      <c r="L202" s="294">
        <f>SUM(L194:L201)</f>
        <v>15000000</v>
      </c>
      <c r="M202" s="308"/>
    </row>
    <row r="203" spans="1:13" ht="12.75" customHeight="1" x14ac:dyDescent="0.2">
      <c r="A203" s="402" t="s">
        <v>185</v>
      </c>
      <c r="B203" s="403"/>
      <c r="C203" s="403"/>
      <c r="D203" s="403"/>
      <c r="E203" s="403"/>
      <c r="F203" s="403"/>
      <c r="G203" s="403"/>
      <c r="H203" s="403"/>
      <c r="I203" s="403"/>
      <c r="J203" s="404"/>
      <c r="K203" s="177">
        <f>K163+K171+K182+K184+K202+K193+K175</f>
        <v>232674992.07500002</v>
      </c>
      <c r="L203" s="177">
        <f>L163+L171+L182+L184+L202+L193+L175</f>
        <v>59302892.075000003</v>
      </c>
      <c r="M203" s="166"/>
    </row>
    <row r="204" spans="1:13" ht="12.75" customHeight="1" x14ac:dyDescent="0.2">
      <c r="A204" s="402" t="s">
        <v>262</v>
      </c>
      <c r="B204" s="403"/>
      <c r="C204" s="403"/>
      <c r="D204" s="403"/>
      <c r="E204" s="403"/>
      <c r="F204" s="403"/>
      <c r="G204" s="403"/>
      <c r="H204" s="403"/>
      <c r="I204" s="403"/>
      <c r="J204" s="404"/>
      <c r="K204" s="177">
        <f>SUM(K156+K203)</f>
        <v>882868734.8440001</v>
      </c>
      <c r="L204" s="177">
        <f>SUM(L156+L203)</f>
        <v>401409934.84399998</v>
      </c>
      <c r="M204" s="166"/>
    </row>
    <row r="205" spans="1:13" ht="12.75" customHeight="1" x14ac:dyDescent="0.2">
      <c r="A205" s="164">
        <v>45083</v>
      </c>
      <c r="B205" s="164">
        <v>45085</v>
      </c>
      <c r="C205" s="160" t="s">
        <v>136</v>
      </c>
      <c r="D205" s="176" t="s">
        <v>192</v>
      </c>
      <c r="E205" s="158">
        <v>45265</v>
      </c>
      <c r="F205" s="167" t="s">
        <v>128</v>
      </c>
      <c r="G205" s="167">
        <v>0</v>
      </c>
      <c r="H205" s="167">
        <v>0</v>
      </c>
      <c r="I205" s="191">
        <v>0</v>
      </c>
      <c r="J205" s="191">
        <v>0</v>
      </c>
      <c r="K205" s="194">
        <v>2000000</v>
      </c>
      <c r="L205" s="193">
        <v>0</v>
      </c>
      <c r="M205" s="172">
        <f>IF(L205=0,0,K205/L205)</f>
        <v>0</v>
      </c>
    </row>
    <row r="206" spans="1:13" ht="12.75" customHeight="1" x14ac:dyDescent="0.2">
      <c r="A206" s="164"/>
      <c r="B206" s="158"/>
      <c r="C206" s="160"/>
      <c r="D206" s="176" t="s">
        <v>146</v>
      </c>
      <c r="E206" s="158">
        <v>45884</v>
      </c>
      <c r="F206" s="167">
        <v>5.3749999999999999E-2</v>
      </c>
      <c r="G206" s="167">
        <v>5.6800000000000003E-2</v>
      </c>
      <c r="H206" s="167">
        <v>5.9499999999999997E-2</v>
      </c>
      <c r="I206" s="165">
        <v>5.7230200000000002E-2</v>
      </c>
      <c r="J206" s="159">
        <v>5.7299999999999997E-2</v>
      </c>
      <c r="K206" s="196">
        <v>13891000</v>
      </c>
      <c r="L206" s="195">
        <v>1800000</v>
      </c>
      <c r="M206" s="172">
        <f t="shared" ref="M206:M210" si="32">IF(L206=0,0,K206/L206)</f>
        <v>7.7172222222222224</v>
      </c>
    </row>
    <row r="207" spans="1:13" ht="12.75" customHeight="1" x14ac:dyDescent="0.2">
      <c r="A207" s="156"/>
      <c r="B207" s="156"/>
      <c r="C207" s="156"/>
      <c r="D207" s="176" t="s">
        <v>50</v>
      </c>
      <c r="E207" s="158">
        <v>46402</v>
      </c>
      <c r="F207" s="167">
        <v>0.06</v>
      </c>
      <c r="G207" s="167">
        <v>5.8299999999999998E-2</v>
      </c>
      <c r="H207" s="167">
        <v>6.0499999999999998E-2</v>
      </c>
      <c r="I207" s="165">
        <v>5.8299999999999998E-2</v>
      </c>
      <c r="J207" s="165">
        <v>5.8299999999999998E-2</v>
      </c>
      <c r="K207" s="196">
        <v>7536000</v>
      </c>
      <c r="L207" s="195">
        <v>200000</v>
      </c>
      <c r="M207" s="172">
        <f t="shared" si="32"/>
        <v>37.68</v>
      </c>
    </row>
    <row r="208" spans="1:13" ht="12.75" customHeight="1" x14ac:dyDescent="0.2">
      <c r="A208" s="156"/>
      <c r="B208" s="156"/>
      <c r="C208" s="156"/>
      <c r="D208" s="2" t="s">
        <v>153</v>
      </c>
      <c r="E208" s="158">
        <v>47376</v>
      </c>
      <c r="F208" s="204">
        <v>6.6250000000000003E-2</v>
      </c>
      <c r="G208" s="167">
        <v>5.6800000000000003E-2</v>
      </c>
      <c r="H208" s="167">
        <v>5.9499999999999997E-2</v>
      </c>
      <c r="I208" s="165">
        <v>6.1499999999999999E-2</v>
      </c>
      <c r="J208" s="165">
        <v>6.1499999999999999E-2</v>
      </c>
      <c r="K208" s="196">
        <v>12034000</v>
      </c>
      <c r="L208" s="195">
        <v>2400000</v>
      </c>
      <c r="M208" s="172">
        <f t="shared" si="32"/>
        <v>5.0141666666666671</v>
      </c>
    </row>
    <row r="209" spans="1:13" ht="12.75" customHeight="1" x14ac:dyDescent="0.2">
      <c r="A209" s="156"/>
      <c r="B209" s="211"/>
      <c r="C209" s="156"/>
      <c r="D209" s="176" t="s">
        <v>150</v>
      </c>
      <c r="E209" s="158">
        <v>49749</v>
      </c>
      <c r="F209" s="167">
        <v>6.8750000000000006E-2</v>
      </c>
      <c r="G209" s="167">
        <v>6.6299999999999998E-2</v>
      </c>
      <c r="H209" s="167">
        <v>6.7900000000000002E-2</v>
      </c>
      <c r="I209" s="165">
        <v>6.6392900000000005E-2</v>
      </c>
      <c r="J209" s="198">
        <v>6.6500000000000004E-2</v>
      </c>
      <c r="K209" s="196">
        <v>17196000</v>
      </c>
      <c r="L209" s="195">
        <v>200000</v>
      </c>
      <c r="M209" s="172">
        <f t="shared" si="32"/>
        <v>85.98</v>
      </c>
    </row>
    <row r="210" spans="1:13" ht="12.75" customHeight="1" x14ac:dyDescent="0.2">
      <c r="A210" s="211"/>
      <c r="B210" s="211"/>
      <c r="C210" s="211"/>
      <c r="D210" s="212" t="s">
        <v>148</v>
      </c>
      <c r="E210" s="213">
        <v>53858</v>
      </c>
      <c r="F210" s="214">
        <v>6.7500000000000004E-2</v>
      </c>
      <c r="G210" s="214">
        <v>6.7000000000000004E-2</v>
      </c>
      <c r="H210" s="214">
        <v>6.9099999999999995E-2</v>
      </c>
      <c r="I210" s="227">
        <v>6.7000000000000004E-2</v>
      </c>
      <c r="J210" s="228">
        <v>6.7000000000000004E-2</v>
      </c>
      <c r="K210" s="217">
        <v>7380400</v>
      </c>
      <c r="L210" s="229">
        <v>2400000</v>
      </c>
      <c r="M210" s="172">
        <f t="shared" si="32"/>
        <v>3.0751666666666666</v>
      </c>
    </row>
    <row r="211" spans="1:13" ht="12.75" customHeight="1" x14ac:dyDescent="0.2">
      <c r="A211" s="409" t="s">
        <v>121</v>
      </c>
      <c r="B211" s="410"/>
      <c r="C211" s="410"/>
      <c r="D211" s="410"/>
      <c r="E211" s="410"/>
      <c r="F211" s="410"/>
      <c r="G211" s="410"/>
      <c r="H211" s="410"/>
      <c r="I211" s="410"/>
      <c r="J211" s="411"/>
      <c r="K211" s="220">
        <f>SUM(K205:K210)</f>
        <v>60037400</v>
      </c>
      <c r="L211" s="220">
        <f>SUM(L205:L210)</f>
        <v>7000000</v>
      </c>
      <c r="M211" s="221"/>
    </row>
    <row r="212" spans="1:13" ht="12.75" customHeight="1" x14ac:dyDescent="0.2">
      <c r="A212" s="205">
        <v>45084</v>
      </c>
      <c r="B212" s="205">
        <v>45091</v>
      </c>
      <c r="C212" s="206" t="s">
        <v>158</v>
      </c>
      <c r="D212" s="207" t="s">
        <v>193</v>
      </c>
      <c r="E212" s="225">
        <v>45818</v>
      </c>
      <c r="F212" s="224">
        <v>6.25E-2</v>
      </c>
      <c r="G212" s="226"/>
      <c r="H212" s="208"/>
      <c r="I212" s="209"/>
      <c r="J212" s="209"/>
      <c r="K212" s="237">
        <v>11700613</v>
      </c>
      <c r="L212" s="237">
        <v>11700613</v>
      </c>
      <c r="M212" s="210"/>
    </row>
    <row r="213" spans="1:13" ht="12.75" customHeight="1" x14ac:dyDescent="0.2">
      <c r="A213" s="246"/>
      <c r="B213" s="247"/>
      <c r="D213" s="207" t="s">
        <v>194</v>
      </c>
      <c r="E213" s="225">
        <v>46548</v>
      </c>
      <c r="F213" s="224">
        <v>6.4000000000000001E-2</v>
      </c>
      <c r="G213" s="226"/>
      <c r="H213" s="208"/>
      <c r="I213" s="209"/>
      <c r="J213" s="209"/>
      <c r="K213" s="237">
        <v>3300000</v>
      </c>
      <c r="L213" s="237">
        <v>3300000</v>
      </c>
      <c r="M213" s="168"/>
    </row>
    <row r="214" spans="1:13" ht="12" customHeight="1" x14ac:dyDescent="0.2">
      <c r="A214" s="405" t="s">
        <v>121</v>
      </c>
      <c r="B214" s="407"/>
      <c r="C214" s="407"/>
      <c r="D214" s="407"/>
      <c r="E214" s="407"/>
      <c r="F214" s="407"/>
      <c r="G214" s="407"/>
      <c r="H214" s="407"/>
      <c r="I214" s="407"/>
      <c r="J214" s="408"/>
      <c r="K214" s="220">
        <f>SUM(K212:K213)</f>
        <v>15000613</v>
      </c>
      <c r="L214" s="220">
        <f>SUM(L212:L213)</f>
        <v>15000613</v>
      </c>
      <c r="M214" s="221"/>
    </row>
    <row r="215" spans="1:13" ht="12.75" customHeight="1" x14ac:dyDescent="0.2">
      <c r="A215" s="205">
        <v>45092</v>
      </c>
      <c r="B215" s="205">
        <v>45097</v>
      </c>
      <c r="C215" s="206" t="s">
        <v>138</v>
      </c>
      <c r="D215" s="207" t="s">
        <v>175</v>
      </c>
      <c r="E215" s="225">
        <v>51940</v>
      </c>
      <c r="F215" s="224">
        <v>6.7500000000000004E-2</v>
      </c>
      <c r="G215" s="226"/>
      <c r="H215" s="208"/>
      <c r="I215" s="209"/>
      <c r="J215" s="209"/>
      <c r="K215" s="237">
        <v>137177</v>
      </c>
      <c r="L215" s="237">
        <v>137177</v>
      </c>
      <c r="M215" s="210"/>
    </row>
    <row r="216" spans="1:13" ht="12" customHeight="1" x14ac:dyDescent="0.2">
      <c r="A216" s="405" t="s">
        <v>121</v>
      </c>
      <c r="B216" s="406"/>
      <c r="C216" s="407"/>
      <c r="D216" s="407"/>
      <c r="E216" s="407"/>
      <c r="F216" s="407"/>
      <c r="G216" s="407"/>
      <c r="H216" s="407"/>
      <c r="I216" s="407"/>
      <c r="J216" s="408"/>
      <c r="K216" s="220">
        <f>SUM(K215)</f>
        <v>137177</v>
      </c>
      <c r="L216" s="220">
        <f>SUM(L215)</f>
        <v>137177</v>
      </c>
      <c r="M216" s="270"/>
    </row>
    <row r="217" spans="1:13" ht="12" customHeight="1" outlineLevel="1" x14ac:dyDescent="0.2">
      <c r="A217" s="326">
        <v>45090</v>
      </c>
      <c r="B217" s="309">
        <v>45092</v>
      </c>
      <c r="C217" s="327" t="s">
        <v>136</v>
      </c>
      <c r="D217" s="283" t="s">
        <v>201</v>
      </c>
      <c r="E217" s="284">
        <v>45183</v>
      </c>
      <c r="F217" s="285" t="s">
        <v>128</v>
      </c>
      <c r="G217" s="341" t="s">
        <v>130</v>
      </c>
      <c r="H217" s="341" t="s">
        <v>130</v>
      </c>
      <c r="I217" s="316" t="s">
        <v>130</v>
      </c>
      <c r="J217" s="316" t="s">
        <v>130</v>
      </c>
      <c r="K217" s="344" t="s">
        <v>130</v>
      </c>
      <c r="L217" s="349" t="s">
        <v>130</v>
      </c>
      <c r="M217" s="352" t="s">
        <v>130</v>
      </c>
    </row>
    <row r="218" spans="1:13" ht="12" customHeight="1" outlineLevel="1" x14ac:dyDescent="0.2">
      <c r="A218" s="326"/>
      <c r="B218" s="281"/>
      <c r="C218" s="327"/>
      <c r="D218" s="283" t="s">
        <v>173</v>
      </c>
      <c r="E218" s="284">
        <v>45351</v>
      </c>
      <c r="F218" s="285" t="s">
        <v>128</v>
      </c>
      <c r="G218" s="285">
        <v>5.1999999999999998E-2</v>
      </c>
      <c r="H218" s="285">
        <v>5.2999999999999999E-2</v>
      </c>
      <c r="I218" s="341">
        <v>5.2197800000000003E-2</v>
      </c>
      <c r="J218" s="346">
        <v>5.2600000000000001E-2</v>
      </c>
      <c r="K218" s="347">
        <v>1930000</v>
      </c>
      <c r="L218" s="350">
        <v>1550000</v>
      </c>
      <c r="M218" s="353">
        <f t="shared" ref="M218:M223" si="33">IF(L218=0,0,K218/L218)</f>
        <v>1.2451612903225806</v>
      </c>
    </row>
    <row r="219" spans="1:13" ht="12.75" customHeight="1" outlineLevel="1" x14ac:dyDescent="0.2">
      <c r="A219" s="326"/>
      <c r="B219" s="284"/>
      <c r="C219" s="327"/>
      <c r="D219" s="283" t="s">
        <v>139</v>
      </c>
      <c r="E219" s="284">
        <v>46980</v>
      </c>
      <c r="F219" s="285">
        <v>6.3750000000000001E-2</v>
      </c>
      <c r="G219" s="285">
        <v>5.8500000000000003E-2</v>
      </c>
      <c r="H219" s="285">
        <v>5.9900000000000002E-2</v>
      </c>
      <c r="I219" s="286">
        <v>5.8550999999999999E-2</v>
      </c>
      <c r="J219" s="321">
        <v>5.8599999999999999E-2</v>
      </c>
      <c r="K219" s="347">
        <v>14419000</v>
      </c>
      <c r="L219" s="351">
        <v>2100000</v>
      </c>
      <c r="M219" s="290">
        <f t="shared" si="33"/>
        <v>6.866190476190476</v>
      </c>
    </row>
    <row r="220" spans="1:13" ht="12.75" customHeight="1" outlineLevel="1" x14ac:dyDescent="0.2">
      <c r="A220" s="305"/>
      <c r="B220" s="291"/>
      <c r="C220" s="306"/>
      <c r="D220" s="283" t="s">
        <v>140</v>
      </c>
      <c r="E220" s="284">
        <v>48625</v>
      </c>
      <c r="F220" s="285">
        <v>7.0000000000000007E-2</v>
      </c>
      <c r="G220" s="285">
        <v>6.1899999999999997E-2</v>
      </c>
      <c r="H220" s="285">
        <v>6.3700000000000007E-2</v>
      </c>
      <c r="I220" s="324">
        <v>6.2043800000000003E-2</v>
      </c>
      <c r="J220" s="325">
        <v>6.2199999999999998E-2</v>
      </c>
      <c r="K220" s="347">
        <v>24868000</v>
      </c>
      <c r="L220" s="350">
        <v>3950000</v>
      </c>
      <c r="M220" s="290">
        <f t="shared" si="33"/>
        <v>6.2956962025316452</v>
      </c>
    </row>
    <row r="221" spans="1:13" ht="12.75" customHeight="1" outlineLevel="1" x14ac:dyDescent="0.2">
      <c r="A221" s="305"/>
      <c r="B221" s="291"/>
      <c r="C221" s="306"/>
      <c r="D221" s="283" t="s">
        <v>142</v>
      </c>
      <c r="E221" s="284">
        <v>50571</v>
      </c>
      <c r="F221" s="285">
        <v>7.1249999999999994E-2</v>
      </c>
      <c r="G221" s="285">
        <v>6.4299999999999996E-2</v>
      </c>
      <c r="H221" s="285">
        <v>6.6500000000000004E-2</v>
      </c>
      <c r="I221" s="286">
        <v>6.4547900000000005E-2</v>
      </c>
      <c r="J221" s="321">
        <v>6.4799999999999996E-2</v>
      </c>
      <c r="K221" s="347">
        <v>18230000</v>
      </c>
      <c r="L221" s="351">
        <v>4250000</v>
      </c>
      <c r="M221" s="290">
        <f t="shared" si="33"/>
        <v>4.289411764705882</v>
      </c>
    </row>
    <row r="222" spans="1:13" ht="12.75" customHeight="1" outlineLevel="1" x14ac:dyDescent="0.2">
      <c r="A222" s="305"/>
      <c r="B222" s="291"/>
      <c r="C222" s="306"/>
      <c r="D222" s="283" t="s">
        <v>141</v>
      </c>
      <c r="E222" s="284">
        <v>52397</v>
      </c>
      <c r="F222" s="285">
        <v>7.1249999999999994E-2</v>
      </c>
      <c r="G222" s="285">
        <v>6.5100000000000005E-2</v>
      </c>
      <c r="H222" s="285">
        <v>6.7000000000000004E-2</v>
      </c>
      <c r="I222" s="286">
        <v>6.5763299999999997E-2</v>
      </c>
      <c r="J222" s="324">
        <v>6.5799999999999997E-2</v>
      </c>
      <c r="K222" s="347">
        <v>9581000</v>
      </c>
      <c r="L222" s="351">
        <v>1400000</v>
      </c>
      <c r="M222" s="290">
        <f t="shared" si="33"/>
        <v>6.8435714285714289</v>
      </c>
    </row>
    <row r="223" spans="1:13" ht="12.75" customHeight="1" outlineLevel="1" x14ac:dyDescent="0.2">
      <c r="A223" s="305"/>
      <c r="B223" s="328"/>
      <c r="C223" s="306"/>
      <c r="D223" s="283" t="s">
        <v>137</v>
      </c>
      <c r="E223" s="284">
        <v>55380</v>
      </c>
      <c r="F223" s="285">
        <v>6.8750000000000006E-2</v>
      </c>
      <c r="G223" s="285">
        <v>6.6900000000000001E-2</v>
      </c>
      <c r="H223" s="285">
        <v>6.9099999999999995E-2</v>
      </c>
      <c r="I223" s="325">
        <v>6.7306900000000003E-2</v>
      </c>
      <c r="J223" s="324">
        <v>6.7400000000000002E-2</v>
      </c>
      <c r="K223" s="348">
        <v>7214200</v>
      </c>
      <c r="L223" s="350">
        <v>1750000</v>
      </c>
      <c r="M223" s="332">
        <f t="shared" si="33"/>
        <v>4.1223999999999998</v>
      </c>
    </row>
    <row r="224" spans="1:13" s="1" customFormat="1" ht="12.75" customHeight="1" outlineLevel="1" x14ac:dyDescent="0.2">
      <c r="A224" s="398" t="s">
        <v>121</v>
      </c>
      <c r="B224" s="399"/>
      <c r="C224" s="400"/>
      <c r="D224" s="400"/>
      <c r="E224" s="400"/>
      <c r="F224" s="400"/>
      <c r="G224" s="400"/>
      <c r="H224" s="400"/>
      <c r="I224" s="400"/>
      <c r="J224" s="401"/>
      <c r="K224" s="294">
        <f>SUM(K218:K223)</f>
        <v>76242200</v>
      </c>
      <c r="L224" s="294">
        <f>SUM(L218:L223)</f>
        <v>15000000</v>
      </c>
      <c r="M224" s="308"/>
    </row>
    <row r="225" spans="1:13" ht="12" customHeight="1" outlineLevel="1" x14ac:dyDescent="0.2">
      <c r="A225" s="164">
        <v>45097</v>
      </c>
      <c r="B225" s="164">
        <v>45099</v>
      </c>
      <c r="C225" s="160" t="s">
        <v>136</v>
      </c>
      <c r="D225" s="176" t="s">
        <v>195</v>
      </c>
      <c r="E225" s="158">
        <v>45279</v>
      </c>
      <c r="F225" s="167" t="s">
        <v>128</v>
      </c>
      <c r="G225" s="167">
        <v>4.7500000000000001E-2</v>
      </c>
      <c r="H225" s="167">
        <v>4.7500000000000001E-2</v>
      </c>
      <c r="I225" s="191" t="s">
        <v>130</v>
      </c>
      <c r="J225" s="191" t="s">
        <v>130</v>
      </c>
      <c r="K225" s="194">
        <v>2015000</v>
      </c>
      <c r="L225" s="248" t="s">
        <v>130</v>
      </c>
      <c r="M225" s="249" t="s">
        <v>130</v>
      </c>
    </row>
    <row r="226" spans="1:13" ht="12.75" customHeight="1" outlineLevel="1" x14ac:dyDescent="0.2">
      <c r="A226" s="164"/>
      <c r="B226" s="158"/>
      <c r="C226" s="160"/>
      <c r="D226" s="176" t="s">
        <v>146</v>
      </c>
      <c r="E226" s="158">
        <v>45884</v>
      </c>
      <c r="F226" s="167">
        <v>5.3749999999999999E-2</v>
      </c>
      <c r="G226" s="167">
        <v>5.62E-2</v>
      </c>
      <c r="H226" s="167">
        <v>5.9700000000000003E-2</v>
      </c>
      <c r="I226" s="165">
        <v>5.6802800000000001E-2</v>
      </c>
      <c r="J226" s="159">
        <v>5.7000000000000002E-2</v>
      </c>
      <c r="K226" s="196">
        <v>10617000</v>
      </c>
      <c r="L226" s="195">
        <v>900000</v>
      </c>
      <c r="M226" s="172">
        <f t="shared" ref="M226:M230" si="34">IF(L226=0,0,K226/L226)</f>
        <v>11.796666666666667</v>
      </c>
    </row>
    <row r="227" spans="1:13" ht="12.75" customHeight="1" outlineLevel="1" x14ac:dyDescent="0.2">
      <c r="A227" s="156"/>
      <c r="B227" s="156"/>
      <c r="C227" s="156"/>
      <c r="D227" s="176" t="s">
        <v>50</v>
      </c>
      <c r="E227" s="158">
        <v>46402</v>
      </c>
      <c r="F227" s="167">
        <v>0.06</v>
      </c>
      <c r="G227" s="167">
        <v>5.67E-2</v>
      </c>
      <c r="H227" s="167">
        <v>0.06</v>
      </c>
      <c r="I227" s="198" t="s">
        <v>130</v>
      </c>
      <c r="J227" s="197" t="s">
        <v>130</v>
      </c>
      <c r="K227" s="196">
        <v>4519000</v>
      </c>
      <c r="L227" s="196" t="s">
        <v>130</v>
      </c>
      <c r="M227" s="249" t="s">
        <v>130</v>
      </c>
    </row>
    <row r="228" spans="1:13" ht="12.75" customHeight="1" outlineLevel="1" x14ac:dyDescent="0.2">
      <c r="A228" s="156"/>
      <c r="B228" s="156"/>
      <c r="C228" s="156"/>
      <c r="D228" s="176" t="s">
        <v>150</v>
      </c>
      <c r="E228" s="158">
        <v>49749</v>
      </c>
      <c r="F228" s="167">
        <v>6.8750000000000006E-2</v>
      </c>
      <c r="G228" s="167">
        <v>6.4299999999999996E-2</v>
      </c>
      <c r="H228" s="167">
        <v>6.6500000000000004E-2</v>
      </c>
      <c r="I228" s="165">
        <v>6.4299999999999996E-2</v>
      </c>
      <c r="J228" s="159">
        <v>6.4299999999999996E-2</v>
      </c>
      <c r="K228" s="196">
        <v>12010500</v>
      </c>
      <c r="L228" s="195">
        <v>1000000</v>
      </c>
      <c r="M228" s="172">
        <f t="shared" si="34"/>
        <v>12.0105</v>
      </c>
    </row>
    <row r="229" spans="1:13" ht="12.75" customHeight="1" outlineLevel="1" x14ac:dyDescent="0.2">
      <c r="A229" s="156"/>
      <c r="B229" s="211"/>
      <c r="C229" s="156"/>
      <c r="D229" s="176" t="s">
        <v>147</v>
      </c>
      <c r="E229" s="158">
        <v>54589</v>
      </c>
      <c r="F229" s="167">
        <v>6.5000000000000002E-2</v>
      </c>
      <c r="G229" s="167">
        <v>6.4500000000000002E-2</v>
      </c>
      <c r="H229" s="167">
        <v>6.7199999999999996E-2</v>
      </c>
      <c r="I229" s="165">
        <v>6.4547599999999997E-2</v>
      </c>
      <c r="J229" s="198">
        <v>6.4600000000000005E-2</v>
      </c>
      <c r="K229" s="196">
        <v>6450400</v>
      </c>
      <c r="L229" s="195">
        <v>3000000</v>
      </c>
      <c r="M229" s="172">
        <f t="shared" si="34"/>
        <v>2.1501333333333332</v>
      </c>
    </row>
    <row r="230" spans="1:13" ht="12.75" customHeight="1" outlineLevel="1" x14ac:dyDescent="0.2">
      <c r="A230" s="211"/>
      <c r="B230" s="211"/>
      <c r="C230" s="211"/>
      <c r="D230" s="212" t="s">
        <v>148</v>
      </c>
      <c r="E230" s="213">
        <v>53858</v>
      </c>
      <c r="F230" s="214">
        <v>6.7500000000000004E-2</v>
      </c>
      <c r="G230" s="214">
        <v>6.5799999999999997E-2</v>
      </c>
      <c r="H230" s="214">
        <v>6.8000000000000005E-2</v>
      </c>
      <c r="I230" s="227">
        <v>6.59999E-2</v>
      </c>
      <c r="J230" s="228">
        <v>6.6000000000000003E-2</v>
      </c>
      <c r="K230" s="217">
        <v>5769800</v>
      </c>
      <c r="L230" s="229">
        <v>2100000</v>
      </c>
      <c r="M230" s="172">
        <f t="shared" si="34"/>
        <v>2.7475238095238095</v>
      </c>
    </row>
    <row r="231" spans="1:13" s="1" customFormat="1" ht="12.75" customHeight="1" outlineLevel="1" x14ac:dyDescent="0.2">
      <c r="A231" s="409" t="s">
        <v>121</v>
      </c>
      <c r="B231" s="410"/>
      <c r="C231" s="410"/>
      <c r="D231" s="410"/>
      <c r="E231" s="410"/>
      <c r="F231" s="410"/>
      <c r="G231" s="410"/>
      <c r="H231" s="410"/>
      <c r="I231" s="410"/>
      <c r="J231" s="411"/>
      <c r="K231" s="220">
        <f>SUM(K225:K230)</f>
        <v>41381700</v>
      </c>
      <c r="L231" s="220">
        <f>SUM(L225:L230)</f>
        <v>7000000</v>
      </c>
      <c r="M231" s="221"/>
    </row>
    <row r="232" spans="1:13" ht="12.75" customHeight="1" x14ac:dyDescent="0.2">
      <c r="A232" s="402" t="s">
        <v>196</v>
      </c>
      <c r="B232" s="403"/>
      <c r="C232" s="403"/>
      <c r="D232" s="403"/>
      <c r="E232" s="403"/>
      <c r="F232" s="403"/>
      <c r="G232" s="403"/>
      <c r="H232" s="403"/>
      <c r="I232" s="403"/>
      <c r="J232" s="404"/>
      <c r="K232" s="177">
        <f>K211+K214+K216+K231+K224</f>
        <v>192799090</v>
      </c>
      <c r="L232" s="177">
        <f>L211+L214+L216+L231+L224</f>
        <v>44137790</v>
      </c>
      <c r="M232" s="166"/>
    </row>
    <row r="233" spans="1:13" ht="12.75" customHeight="1" x14ac:dyDescent="0.2">
      <c r="A233" s="402" t="s">
        <v>263</v>
      </c>
      <c r="B233" s="403"/>
      <c r="C233" s="403"/>
      <c r="D233" s="403"/>
      <c r="E233" s="403"/>
      <c r="F233" s="403"/>
      <c r="G233" s="403"/>
      <c r="H233" s="403"/>
      <c r="I233" s="403"/>
      <c r="J233" s="404"/>
      <c r="K233" s="177">
        <f>SUM(K204+K232)</f>
        <v>1075667824.8440001</v>
      </c>
      <c r="L233" s="177">
        <f>SUM(L204+L232)</f>
        <v>445547724.84399998</v>
      </c>
      <c r="M233" s="166"/>
    </row>
    <row r="234" spans="1:13" s="269" customFormat="1" ht="12" customHeight="1" outlineLevel="1" x14ac:dyDescent="0.2">
      <c r="A234" s="259">
        <v>45103</v>
      </c>
      <c r="B234" s="259">
        <v>45110</v>
      </c>
      <c r="C234" s="260" t="s">
        <v>138</v>
      </c>
      <c r="D234" s="261" t="s">
        <v>244</v>
      </c>
      <c r="E234" s="262">
        <v>46937</v>
      </c>
      <c r="F234" s="263">
        <v>5.5E-2</v>
      </c>
      <c r="G234" s="264"/>
      <c r="H234" s="265"/>
      <c r="I234" s="266"/>
      <c r="J234" s="266"/>
      <c r="K234" s="267">
        <v>50000</v>
      </c>
      <c r="L234" s="267">
        <v>50000</v>
      </c>
      <c r="M234" s="268"/>
    </row>
    <row r="235" spans="1:13" s="1" customFormat="1" ht="12.75" customHeight="1" outlineLevel="1" x14ac:dyDescent="0.2">
      <c r="A235" s="405" t="s">
        <v>121</v>
      </c>
      <c r="B235" s="406"/>
      <c r="C235" s="407"/>
      <c r="D235" s="407"/>
      <c r="E235" s="407"/>
      <c r="F235" s="407"/>
      <c r="G235" s="407"/>
      <c r="H235" s="407"/>
      <c r="I235" s="407"/>
      <c r="J235" s="408"/>
      <c r="K235" s="220">
        <f>SUM(K234)</f>
        <v>50000</v>
      </c>
      <c r="L235" s="220">
        <f>SUM(L234)</f>
        <v>50000</v>
      </c>
      <c r="M235" s="270"/>
    </row>
    <row r="236" spans="1:13" ht="12" customHeight="1" outlineLevel="1" x14ac:dyDescent="0.2">
      <c r="A236" s="326">
        <v>45104</v>
      </c>
      <c r="B236" s="309">
        <v>45111</v>
      </c>
      <c r="C236" s="327" t="s">
        <v>136</v>
      </c>
      <c r="D236" s="283" t="s">
        <v>197</v>
      </c>
      <c r="E236" s="284">
        <v>45198</v>
      </c>
      <c r="F236" s="285" t="s">
        <v>128</v>
      </c>
      <c r="G236" s="341" t="s">
        <v>130</v>
      </c>
      <c r="H236" s="341" t="s">
        <v>130</v>
      </c>
      <c r="I236" s="316" t="s">
        <v>130</v>
      </c>
      <c r="J236" s="316" t="s">
        <v>130</v>
      </c>
      <c r="K236" s="344" t="s">
        <v>130</v>
      </c>
      <c r="L236" s="349" t="s">
        <v>130</v>
      </c>
      <c r="M236" s="352" t="s">
        <v>130</v>
      </c>
    </row>
    <row r="237" spans="1:13" ht="12" customHeight="1" outlineLevel="1" x14ac:dyDescent="0.2">
      <c r="A237" s="326"/>
      <c r="B237" s="281"/>
      <c r="C237" s="327"/>
      <c r="D237" s="283" t="s">
        <v>198</v>
      </c>
      <c r="E237" s="284">
        <v>45471</v>
      </c>
      <c r="F237" s="285" t="s">
        <v>128</v>
      </c>
      <c r="G237" s="285">
        <v>5.28E-2</v>
      </c>
      <c r="H237" s="285">
        <v>5.3499999999999999E-2</v>
      </c>
      <c r="I237" s="341">
        <v>5.2999999999999999E-2</v>
      </c>
      <c r="J237" s="346">
        <v>5.3199999999999997E-2</v>
      </c>
      <c r="K237" s="347">
        <v>1250000</v>
      </c>
      <c r="L237" s="350">
        <v>800000</v>
      </c>
      <c r="M237" s="353">
        <f t="shared" ref="M237:M242" si="35">IF(L237=0,0,K237/L237)</f>
        <v>1.5625</v>
      </c>
    </row>
    <row r="238" spans="1:13" ht="12.75" customHeight="1" outlineLevel="1" x14ac:dyDescent="0.2">
      <c r="A238" s="326"/>
      <c r="B238" s="284"/>
      <c r="C238" s="327"/>
      <c r="D238" s="283" t="s">
        <v>139</v>
      </c>
      <c r="E238" s="284">
        <v>46980</v>
      </c>
      <c r="F238" s="285">
        <v>6.3750000000000001E-2</v>
      </c>
      <c r="G238" s="285">
        <v>5.8299999999999998E-2</v>
      </c>
      <c r="H238" s="285">
        <v>0.06</v>
      </c>
      <c r="I238" s="286">
        <v>5.8491500000000002E-2</v>
      </c>
      <c r="J238" s="321">
        <v>5.8999999999999997E-2</v>
      </c>
      <c r="K238" s="347">
        <v>7748000</v>
      </c>
      <c r="L238" s="351">
        <v>3600000</v>
      </c>
      <c r="M238" s="290">
        <f t="shared" si="35"/>
        <v>2.152222222222222</v>
      </c>
    </row>
    <row r="239" spans="1:13" ht="12.75" customHeight="1" outlineLevel="1" x14ac:dyDescent="0.2">
      <c r="A239" s="305"/>
      <c r="B239" s="291"/>
      <c r="C239" s="306"/>
      <c r="D239" s="283" t="s">
        <v>140</v>
      </c>
      <c r="E239" s="284">
        <v>48625</v>
      </c>
      <c r="F239" s="285">
        <v>7.0000000000000007E-2</v>
      </c>
      <c r="G239" s="285">
        <v>6.2300000000000001E-2</v>
      </c>
      <c r="H239" s="285">
        <v>6.3500000000000001E-2</v>
      </c>
      <c r="I239" s="324">
        <v>6.2300000000000001E-2</v>
      </c>
      <c r="J239" s="325">
        <v>6.2300000000000001E-2</v>
      </c>
      <c r="K239" s="347">
        <v>11380000</v>
      </c>
      <c r="L239" s="350">
        <v>2050000</v>
      </c>
      <c r="M239" s="290">
        <f t="shared" si="35"/>
        <v>5.5512195121951216</v>
      </c>
    </row>
    <row r="240" spans="1:13" ht="12.75" customHeight="1" outlineLevel="1" x14ac:dyDescent="0.2">
      <c r="A240" s="305"/>
      <c r="B240" s="291"/>
      <c r="C240" s="306"/>
      <c r="D240" s="283" t="s">
        <v>142</v>
      </c>
      <c r="E240" s="284">
        <v>50571</v>
      </c>
      <c r="F240" s="285">
        <v>7.1249999999999994E-2</v>
      </c>
      <c r="G240" s="285">
        <v>6.4299999999999996E-2</v>
      </c>
      <c r="H240" s="285">
        <v>6.59E-2</v>
      </c>
      <c r="I240" s="286">
        <v>6.43986E-2</v>
      </c>
      <c r="J240" s="321">
        <v>6.4500000000000002E-2</v>
      </c>
      <c r="K240" s="347">
        <v>8646000</v>
      </c>
      <c r="L240" s="351">
        <v>3100000</v>
      </c>
      <c r="M240" s="290">
        <f t="shared" si="35"/>
        <v>2.7890322580645162</v>
      </c>
    </row>
    <row r="241" spans="1:13" ht="12.75" customHeight="1" outlineLevel="1" x14ac:dyDescent="0.2">
      <c r="A241" s="305"/>
      <c r="B241" s="291"/>
      <c r="C241" s="306"/>
      <c r="D241" s="283" t="s">
        <v>141</v>
      </c>
      <c r="E241" s="284">
        <v>52397</v>
      </c>
      <c r="F241" s="285">
        <v>7.1249999999999994E-2</v>
      </c>
      <c r="G241" s="285">
        <v>6.5199999999999994E-2</v>
      </c>
      <c r="H241" s="285">
        <v>6.7000000000000004E-2</v>
      </c>
      <c r="I241" s="286">
        <v>6.5293299999999999E-2</v>
      </c>
      <c r="J241" s="324">
        <v>6.54E-2</v>
      </c>
      <c r="K241" s="347">
        <v>5576000</v>
      </c>
      <c r="L241" s="351">
        <v>2350000</v>
      </c>
      <c r="M241" s="290">
        <f t="shared" si="35"/>
        <v>2.3727659574468083</v>
      </c>
    </row>
    <row r="242" spans="1:13" ht="12.75" customHeight="1" outlineLevel="1" x14ac:dyDescent="0.2">
      <c r="A242" s="305"/>
      <c r="B242" s="328"/>
      <c r="C242" s="306"/>
      <c r="D242" s="283" t="s">
        <v>137</v>
      </c>
      <c r="E242" s="284">
        <v>55380</v>
      </c>
      <c r="F242" s="285">
        <v>6.8750000000000006E-2</v>
      </c>
      <c r="G242" s="285">
        <v>6.7000000000000004E-2</v>
      </c>
      <c r="H242" s="285">
        <v>6.8699999999999997E-2</v>
      </c>
      <c r="I242" s="325">
        <v>6.7094399999999998E-2</v>
      </c>
      <c r="J242" s="324">
        <v>6.7199999999999996E-2</v>
      </c>
      <c r="K242" s="348">
        <v>2962800</v>
      </c>
      <c r="L242" s="350">
        <v>2100000</v>
      </c>
      <c r="M242" s="332">
        <f t="shared" si="35"/>
        <v>1.4108571428571428</v>
      </c>
    </row>
    <row r="243" spans="1:13" s="1" customFormat="1" ht="12.75" customHeight="1" outlineLevel="1" x14ac:dyDescent="0.2">
      <c r="A243" s="398" t="s">
        <v>121</v>
      </c>
      <c r="B243" s="399"/>
      <c r="C243" s="400"/>
      <c r="D243" s="400"/>
      <c r="E243" s="400"/>
      <c r="F243" s="400"/>
      <c r="G243" s="400"/>
      <c r="H243" s="400"/>
      <c r="I243" s="400"/>
      <c r="J243" s="401"/>
      <c r="K243" s="294">
        <f>SUM(K237:K242)</f>
        <v>37562800</v>
      </c>
      <c r="L243" s="294">
        <f>SUM(L237:L242)</f>
        <v>14000000</v>
      </c>
      <c r="M243" s="308"/>
    </row>
    <row r="244" spans="1:13" ht="12" customHeight="1" outlineLevel="1" x14ac:dyDescent="0.2">
      <c r="A244" s="281">
        <v>45104</v>
      </c>
      <c r="B244" s="281">
        <v>45112</v>
      </c>
      <c r="C244" s="282" t="s">
        <v>138</v>
      </c>
      <c r="D244" s="283" t="s">
        <v>98</v>
      </c>
      <c r="E244" s="284">
        <v>48714</v>
      </c>
      <c r="F244" s="285">
        <v>6.6250000000000003E-2</v>
      </c>
      <c r="G244" s="316" t="s">
        <v>130</v>
      </c>
      <c r="H244" s="316" t="s">
        <v>130</v>
      </c>
      <c r="I244" s="316">
        <v>6.2399999999999997E-2</v>
      </c>
      <c r="J244" s="316" t="s">
        <v>130</v>
      </c>
      <c r="K244" s="344">
        <v>2500000</v>
      </c>
      <c r="L244" s="344">
        <v>2500000</v>
      </c>
      <c r="M244" s="345" t="s">
        <v>130</v>
      </c>
    </row>
    <row r="245" spans="1:13" s="1" customFormat="1" ht="12.75" customHeight="1" outlineLevel="1" x14ac:dyDescent="0.2">
      <c r="A245" s="398" t="s">
        <v>121</v>
      </c>
      <c r="B245" s="400"/>
      <c r="C245" s="400"/>
      <c r="D245" s="400"/>
      <c r="E245" s="400"/>
      <c r="F245" s="400"/>
      <c r="G245" s="400"/>
      <c r="H245" s="400"/>
      <c r="I245" s="400"/>
      <c r="J245" s="401"/>
      <c r="K245" s="294">
        <f>SUM(K244:K244)</f>
        <v>2500000</v>
      </c>
      <c r="L245" s="294">
        <f>SUM(L244)</f>
        <v>2500000</v>
      </c>
      <c r="M245" s="295"/>
    </row>
    <row r="246" spans="1:13" ht="12" customHeight="1" outlineLevel="1" x14ac:dyDescent="0.2">
      <c r="A246" s="164">
        <v>45111</v>
      </c>
      <c r="B246" s="164">
        <v>45113</v>
      </c>
      <c r="C246" s="160" t="s">
        <v>136</v>
      </c>
      <c r="D246" s="176" t="s">
        <v>192</v>
      </c>
      <c r="E246" s="158">
        <v>45265</v>
      </c>
      <c r="F246" s="167" t="s">
        <v>128</v>
      </c>
      <c r="G246" s="167">
        <v>4.7500000000000001E-2</v>
      </c>
      <c r="H246" s="167">
        <v>4.7500000000000001E-2</v>
      </c>
      <c r="I246" s="218" t="s">
        <v>130</v>
      </c>
      <c r="J246" s="250" t="s">
        <v>130</v>
      </c>
      <c r="K246" s="219">
        <v>2008000</v>
      </c>
      <c r="L246" s="196" t="s">
        <v>130</v>
      </c>
      <c r="M246" s="249" t="s">
        <v>130</v>
      </c>
    </row>
    <row r="247" spans="1:13" ht="12" customHeight="1" outlineLevel="1" x14ac:dyDescent="0.2">
      <c r="A247" s="164"/>
      <c r="B247" s="164"/>
      <c r="C247" s="160"/>
      <c r="D247" s="176" t="s">
        <v>146</v>
      </c>
      <c r="E247" s="158">
        <v>45884</v>
      </c>
      <c r="F247" s="167">
        <v>5.3749999999999999E-2</v>
      </c>
      <c r="G247" s="167">
        <v>5.7000000000000002E-2</v>
      </c>
      <c r="H247" s="167">
        <v>5.9200000000000003E-2</v>
      </c>
      <c r="I247" s="218">
        <v>5.7494099999999999E-2</v>
      </c>
      <c r="J247" s="250">
        <v>5.7500000000000002E-2</v>
      </c>
      <c r="K247" s="219">
        <v>11363000</v>
      </c>
      <c r="L247" s="196">
        <v>2450000</v>
      </c>
      <c r="M247" s="249">
        <f t="shared" ref="M247:M251" si="36">IF(L247=0,0,K247/L247)</f>
        <v>4.6379591836734697</v>
      </c>
    </row>
    <row r="248" spans="1:13" ht="12.75" customHeight="1" outlineLevel="1" x14ac:dyDescent="0.2">
      <c r="A248" s="164"/>
      <c r="B248" s="158"/>
      <c r="C248" s="160"/>
      <c r="D248" s="176" t="s">
        <v>50</v>
      </c>
      <c r="E248" s="158">
        <v>46402</v>
      </c>
      <c r="F248" s="167">
        <v>0.06</v>
      </c>
      <c r="G248" s="167">
        <v>5.6800000000000003E-2</v>
      </c>
      <c r="H248" s="167">
        <v>0.06</v>
      </c>
      <c r="I248" s="165">
        <v>5.6800000000000003E-2</v>
      </c>
      <c r="J248" s="159">
        <v>5.6800000000000003E-2</v>
      </c>
      <c r="K248" s="196">
        <v>1565000</v>
      </c>
      <c r="L248" s="195">
        <v>200000</v>
      </c>
      <c r="M248" s="172">
        <f t="shared" si="36"/>
        <v>7.8250000000000002</v>
      </c>
    </row>
    <row r="249" spans="1:13" ht="12.75" customHeight="1" outlineLevel="1" x14ac:dyDescent="0.2">
      <c r="A249" s="156"/>
      <c r="B249" s="156"/>
      <c r="C249" s="156"/>
      <c r="D249" s="2" t="s">
        <v>153</v>
      </c>
      <c r="E249" s="158">
        <v>47376</v>
      </c>
      <c r="F249" s="204">
        <v>6.6250000000000003E-2</v>
      </c>
      <c r="G249" s="167">
        <v>5.9499999999999997E-2</v>
      </c>
      <c r="H249" s="167">
        <v>6.3E-2</v>
      </c>
      <c r="I249" s="198">
        <v>5.9935200000000001E-2</v>
      </c>
      <c r="J249" s="197">
        <v>0.06</v>
      </c>
      <c r="K249" s="196">
        <v>12224000</v>
      </c>
      <c r="L249" s="196">
        <v>800000</v>
      </c>
      <c r="M249" s="172">
        <f t="shared" si="36"/>
        <v>15.28</v>
      </c>
    </row>
    <row r="250" spans="1:13" ht="12.75" customHeight="1" outlineLevel="1" x14ac:dyDescent="0.2">
      <c r="A250" s="156"/>
      <c r="B250" s="156"/>
      <c r="C250" s="156"/>
      <c r="D250" s="176" t="s">
        <v>150</v>
      </c>
      <c r="E250" s="158">
        <v>49749</v>
      </c>
      <c r="F250" s="167">
        <v>6.8750000000000006E-2</v>
      </c>
      <c r="G250" s="167">
        <v>6.3799999999999996E-2</v>
      </c>
      <c r="H250" s="167">
        <v>6.5500000000000003E-2</v>
      </c>
      <c r="I250" s="165">
        <v>6.4061199999999999E-2</v>
      </c>
      <c r="J250" s="159">
        <v>6.4299999999999996E-2</v>
      </c>
      <c r="K250" s="196">
        <v>5737000</v>
      </c>
      <c r="L250" s="195">
        <v>1400000</v>
      </c>
      <c r="M250" s="172">
        <f t="shared" si="36"/>
        <v>4.0978571428571424</v>
      </c>
    </row>
    <row r="251" spans="1:13" ht="12.75" customHeight="1" outlineLevel="1" x14ac:dyDescent="0.2">
      <c r="A251" s="251"/>
      <c r="B251" s="156"/>
      <c r="C251" s="252"/>
      <c r="D251" s="212" t="s">
        <v>148</v>
      </c>
      <c r="E251" s="213">
        <v>53858</v>
      </c>
      <c r="F251" s="214">
        <v>6.7500000000000004E-2</v>
      </c>
      <c r="G251" s="167">
        <v>6.6000000000000003E-2</v>
      </c>
      <c r="H251" s="167">
        <v>6.7199999999999996E-2</v>
      </c>
      <c r="I251" s="165">
        <v>6.6788799999999995E-2</v>
      </c>
      <c r="J251" s="198">
        <v>6.6900000000000001E-2</v>
      </c>
      <c r="K251" s="196">
        <v>1157000</v>
      </c>
      <c r="L251" s="195">
        <v>1150000</v>
      </c>
      <c r="M251" s="172">
        <f t="shared" si="36"/>
        <v>1.0060869565217392</v>
      </c>
    </row>
    <row r="252" spans="1:13" s="1" customFormat="1" ht="12.75" customHeight="1" outlineLevel="1" x14ac:dyDescent="0.2">
      <c r="A252" s="409" t="s">
        <v>121</v>
      </c>
      <c r="B252" s="415"/>
      <c r="C252" s="410"/>
      <c r="D252" s="410"/>
      <c r="E252" s="410"/>
      <c r="F252" s="410"/>
      <c r="G252" s="410"/>
      <c r="H252" s="410"/>
      <c r="I252" s="410"/>
      <c r="J252" s="411"/>
      <c r="K252" s="220">
        <f>SUM(K246:K251)</f>
        <v>34054000</v>
      </c>
      <c r="L252" s="220">
        <f>SUM(L247:L251)</f>
        <v>6000000</v>
      </c>
      <c r="M252" s="270"/>
    </row>
    <row r="253" spans="1:13" ht="12" customHeight="1" outlineLevel="1" x14ac:dyDescent="0.2">
      <c r="A253" s="326">
        <v>45118</v>
      </c>
      <c r="B253" s="309">
        <v>45120</v>
      </c>
      <c r="C253" s="327" t="s">
        <v>136</v>
      </c>
      <c r="D253" s="283" t="s">
        <v>199</v>
      </c>
      <c r="E253" s="284">
        <v>45211</v>
      </c>
      <c r="F253" s="285" t="s">
        <v>128</v>
      </c>
      <c r="G253" s="341">
        <v>4.5499999999999999E-2</v>
      </c>
      <c r="H253" s="341">
        <v>4.5999999999999999E-2</v>
      </c>
      <c r="I253" s="316" t="s">
        <v>130</v>
      </c>
      <c r="J253" s="316" t="s">
        <v>130</v>
      </c>
      <c r="K253" s="347">
        <v>200000</v>
      </c>
      <c r="L253" s="349" t="s">
        <v>130</v>
      </c>
      <c r="M253" s="352" t="s">
        <v>130</v>
      </c>
    </row>
    <row r="254" spans="1:13" ht="12" customHeight="1" outlineLevel="1" x14ac:dyDescent="0.2">
      <c r="A254" s="326"/>
      <c r="B254" s="281"/>
      <c r="C254" s="327"/>
      <c r="D254" s="283" t="s">
        <v>183</v>
      </c>
      <c r="E254" s="284">
        <v>45393</v>
      </c>
      <c r="F254" s="285" t="s">
        <v>128</v>
      </c>
      <c r="G254" s="285">
        <v>5.21E-2</v>
      </c>
      <c r="H254" s="285">
        <v>5.2499999999999998E-2</v>
      </c>
      <c r="I254" s="341">
        <v>5.2299999999999999E-2</v>
      </c>
      <c r="J254" s="346">
        <v>5.2499999999999998E-2</v>
      </c>
      <c r="K254" s="347">
        <v>800000</v>
      </c>
      <c r="L254" s="350">
        <v>800000</v>
      </c>
      <c r="M254" s="290">
        <f>IF(L254=0,0,K254/L254)</f>
        <v>1</v>
      </c>
    </row>
    <row r="255" spans="1:13" ht="12.75" customHeight="1" outlineLevel="1" x14ac:dyDescent="0.2">
      <c r="A255" s="326"/>
      <c r="B255" s="284"/>
      <c r="C255" s="327"/>
      <c r="D255" s="283" t="s">
        <v>139</v>
      </c>
      <c r="E255" s="284">
        <v>46980</v>
      </c>
      <c r="F255" s="285">
        <v>6.3750000000000001E-2</v>
      </c>
      <c r="G255" s="285">
        <v>5.9299999999999999E-2</v>
      </c>
      <c r="H255" s="285">
        <v>6.2E-2</v>
      </c>
      <c r="I255" s="286">
        <v>5.9299999999999999E-2</v>
      </c>
      <c r="J255" s="321">
        <v>5.9299999999999999E-2</v>
      </c>
      <c r="K255" s="347">
        <v>12966000</v>
      </c>
      <c r="L255" s="351">
        <v>1600000</v>
      </c>
      <c r="M255" s="290">
        <f t="shared" ref="M255:M259" si="37">IF(L255=0,0,K255/L255)</f>
        <v>8.1037499999999998</v>
      </c>
    </row>
    <row r="256" spans="1:13" ht="12.75" customHeight="1" outlineLevel="1" x14ac:dyDescent="0.2">
      <c r="A256" s="305"/>
      <c r="B256" s="291"/>
      <c r="C256" s="306"/>
      <c r="D256" s="283" t="s">
        <v>140</v>
      </c>
      <c r="E256" s="284">
        <v>48625</v>
      </c>
      <c r="F256" s="285">
        <v>7.0000000000000007E-2</v>
      </c>
      <c r="G256" s="285">
        <v>6.1800000000000001E-2</v>
      </c>
      <c r="H256" s="285">
        <v>6.3799999999999996E-2</v>
      </c>
      <c r="I256" s="324">
        <v>6.2083699999999999E-2</v>
      </c>
      <c r="J256" s="325">
        <v>6.2199999999999998E-2</v>
      </c>
      <c r="K256" s="347">
        <v>13967000</v>
      </c>
      <c r="L256" s="350">
        <v>3550000</v>
      </c>
      <c r="M256" s="290">
        <f t="shared" si="37"/>
        <v>3.9343661971830985</v>
      </c>
    </row>
    <row r="257" spans="1:15" ht="12.75" customHeight="1" outlineLevel="1" x14ac:dyDescent="0.2">
      <c r="A257" s="305"/>
      <c r="B257" s="291"/>
      <c r="C257" s="306"/>
      <c r="D257" s="283" t="s">
        <v>142</v>
      </c>
      <c r="E257" s="284">
        <v>50571</v>
      </c>
      <c r="F257" s="285">
        <v>7.1249999999999994E-2</v>
      </c>
      <c r="G257" s="285">
        <v>6.3700000000000007E-2</v>
      </c>
      <c r="H257" s="285">
        <v>6.5000000000000002E-2</v>
      </c>
      <c r="I257" s="286">
        <v>6.3948900000000003E-2</v>
      </c>
      <c r="J257" s="321">
        <v>6.4000000000000001E-2</v>
      </c>
      <c r="K257" s="347">
        <v>10909500</v>
      </c>
      <c r="L257" s="351">
        <v>3550000</v>
      </c>
      <c r="M257" s="290">
        <f t="shared" si="37"/>
        <v>3.0730985915492957</v>
      </c>
    </row>
    <row r="258" spans="1:15" ht="12.75" customHeight="1" outlineLevel="1" x14ac:dyDescent="0.2">
      <c r="A258" s="305"/>
      <c r="B258" s="291"/>
      <c r="C258" s="306"/>
      <c r="D258" s="283" t="s">
        <v>141</v>
      </c>
      <c r="E258" s="284">
        <v>52397</v>
      </c>
      <c r="F258" s="285">
        <v>7.1249999999999994E-2</v>
      </c>
      <c r="G258" s="285">
        <v>6.4500000000000002E-2</v>
      </c>
      <c r="H258" s="285">
        <v>6.6000000000000003E-2</v>
      </c>
      <c r="I258" s="286">
        <v>6.4799999999999996E-2</v>
      </c>
      <c r="J258" s="324">
        <v>6.4899999999999999E-2</v>
      </c>
      <c r="K258" s="348">
        <v>4975000</v>
      </c>
      <c r="L258" s="351">
        <v>1700000</v>
      </c>
      <c r="M258" s="290">
        <f t="shared" si="37"/>
        <v>2.9264705882352939</v>
      </c>
    </row>
    <row r="259" spans="1:15" ht="12.75" customHeight="1" outlineLevel="1" x14ac:dyDescent="0.2">
      <c r="A259" s="305"/>
      <c r="B259" s="328"/>
      <c r="C259" s="306"/>
      <c r="D259" s="283" t="s">
        <v>137</v>
      </c>
      <c r="E259" s="284">
        <v>55380</v>
      </c>
      <c r="F259" s="285">
        <v>6.8750000000000006E-2</v>
      </c>
      <c r="G259" s="285">
        <v>6.6799999999999998E-2</v>
      </c>
      <c r="H259" s="285">
        <v>6.83E-2</v>
      </c>
      <c r="I259" s="325">
        <v>6.694E-2</v>
      </c>
      <c r="J259" s="324">
        <v>6.7000000000000004E-2</v>
      </c>
      <c r="K259" s="348">
        <v>3979100</v>
      </c>
      <c r="L259" s="350">
        <v>1800000</v>
      </c>
      <c r="M259" s="332">
        <f t="shared" si="37"/>
        <v>2.2106111111111111</v>
      </c>
    </row>
    <row r="260" spans="1:15" s="1" customFormat="1" ht="12.75" customHeight="1" outlineLevel="1" x14ac:dyDescent="0.2">
      <c r="A260" s="398" t="s">
        <v>121</v>
      </c>
      <c r="B260" s="399"/>
      <c r="C260" s="400"/>
      <c r="D260" s="400"/>
      <c r="E260" s="400"/>
      <c r="F260" s="400"/>
      <c r="G260" s="400"/>
      <c r="H260" s="400"/>
      <c r="I260" s="400"/>
      <c r="J260" s="401"/>
      <c r="K260" s="294">
        <f>SUM(K253:K259)</f>
        <v>47796600</v>
      </c>
      <c r="L260" s="294">
        <f>SUM(L254:L259)</f>
        <v>13000000</v>
      </c>
      <c r="M260" s="307"/>
    </row>
    <row r="261" spans="1:15" s="187" customFormat="1" ht="17.25" customHeight="1" outlineLevel="1" x14ac:dyDescent="0.2">
      <c r="A261" s="271">
        <v>45124</v>
      </c>
      <c r="B261" s="271">
        <v>45128</v>
      </c>
      <c r="C261" s="272" t="s">
        <v>138</v>
      </c>
      <c r="D261" s="273" t="s">
        <v>165</v>
      </c>
      <c r="E261" s="274">
        <v>47133</v>
      </c>
      <c r="F261" s="275">
        <v>6.4000000000000001E-2</v>
      </c>
      <c r="G261" s="276"/>
      <c r="H261" s="276"/>
      <c r="I261" s="277">
        <v>0.06</v>
      </c>
      <c r="J261" s="276"/>
      <c r="K261" s="278">
        <v>512787</v>
      </c>
      <c r="L261" s="334">
        <v>512787</v>
      </c>
      <c r="M261" s="319">
        <f>IF(L261=0,0,K261/L261)</f>
        <v>1</v>
      </c>
      <c r="O261" s="189"/>
    </row>
    <row r="262" spans="1:15" ht="12.75" customHeight="1" outlineLevel="1" x14ac:dyDescent="0.2">
      <c r="A262" s="291"/>
      <c r="B262" s="284"/>
      <c r="C262" s="282"/>
      <c r="D262" s="283" t="s">
        <v>164</v>
      </c>
      <c r="E262" s="284">
        <v>48228</v>
      </c>
      <c r="F262" s="285">
        <v>0.03</v>
      </c>
      <c r="G262" s="285"/>
      <c r="H262" s="285"/>
      <c r="I262" s="286">
        <v>4.9000000000000002E-2</v>
      </c>
      <c r="J262" s="286"/>
      <c r="K262" s="293" t="s">
        <v>264</v>
      </c>
      <c r="L262" s="335" t="s">
        <v>264</v>
      </c>
      <c r="M262" s="292"/>
    </row>
    <row r="263" spans="1:15" ht="12.75" customHeight="1" outlineLevel="1" x14ac:dyDescent="0.2">
      <c r="A263" s="291"/>
      <c r="B263" s="291"/>
      <c r="C263" s="282"/>
      <c r="D263" s="283"/>
      <c r="E263" s="284"/>
      <c r="F263" s="285"/>
      <c r="G263" s="285"/>
      <c r="H263" s="285"/>
      <c r="I263" s="286"/>
      <c r="J263" s="286"/>
      <c r="K263" s="293">
        <f>9788000*14991/1000000</f>
        <v>146731.908</v>
      </c>
      <c r="L263" s="335">
        <f>9788000*14991/1000000</f>
        <v>146731.908</v>
      </c>
      <c r="M263" s="332">
        <f>IF(L263=0,0,K263/L263)</f>
        <v>1</v>
      </c>
    </row>
    <row r="264" spans="1:15" s="187" customFormat="1" ht="13.5" customHeight="1" outlineLevel="1" x14ac:dyDescent="0.2">
      <c r="A264" s="427" t="s">
        <v>121</v>
      </c>
      <c r="B264" s="428"/>
      <c r="C264" s="428"/>
      <c r="D264" s="428"/>
      <c r="E264" s="428"/>
      <c r="F264" s="428"/>
      <c r="G264" s="428"/>
      <c r="H264" s="428"/>
      <c r="I264" s="428"/>
      <c r="J264" s="429"/>
      <c r="K264" s="280">
        <f>SUM(K261,K263)</f>
        <v>659518.90800000005</v>
      </c>
      <c r="L264" s="280">
        <f>SUM(L261,L263)</f>
        <v>659518.90800000005</v>
      </c>
      <c r="M264" s="336"/>
    </row>
    <row r="265" spans="1:15" ht="12" customHeight="1" outlineLevel="1" x14ac:dyDescent="0.2">
      <c r="A265" s="164">
        <v>45125</v>
      </c>
      <c r="B265" s="164">
        <v>45128</v>
      </c>
      <c r="C265" s="160" t="s">
        <v>136</v>
      </c>
      <c r="D265" s="176" t="s">
        <v>202</v>
      </c>
      <c r="E265" s="158">
        <v>45308</v>
      </c>
      <c r="F265" s="167" t="s">
        <v>128</v>
      </c>
      <c r="G265" s="167">
        <v>0</v>
      </c>
      <c r="H265" s="167">
        <v>0</v>
      </c>
      <c r="I265" s="218" t="s">
        <v>130</v>
      </c>
      <c r="J265" s="250" t="s">
        <v>130</v>
      </c>
      <c r="K265" s="219">
        <v>2005000</v>
      </c>
      <c r="L265" s="196" t="s">
        <v>130</v>
      </c>
      <c r="M265" s="249" t="s">
        <v>130</v>
      </c>
    </row>
    <row r="266" spans="1:15" ht="12" customHeight="1" outlineLevel="1" x14ac:dyDescent="0.2">
      <c r="A266" s="164"/>
      <c r="B266" s="164"/>
      <c r="C266" s="160"/>
      <c r="D266" s="176" t="s">
        <v>146</v>
      </c>
      <c r="E266" s="158">
        <v>45884</v>
      </c>
      <c r="F266" s="167">
        <v>5.3749999999999999E-2</v>
      </c>
      <c r="G266" s="167">
        <v>5.7000000000000002E-2</v>
      </c>
      <c r="H266" s="167">
        <v>6.0999999999999999E-2</v>
      </c>
      <c r="I266" s="218">
        <v>5.8359000000000001E-2</v>
      </c>
      <c r="J266" s="250">
        <v>5.8500000000000003E-2</v>
      </c>
      <c r="K266" s="219">
        <v>9751000</v>
      </c>
      <c r="L266" s="196">
        <v>750000</v>
      </c>
      <c r="M266" s="172">
        <f t="shared" ref="M266:M270" si="38">IF(L266=0,0,K266/L266)</f>
        <v>13.001333333333333</v>
      </c>
    </row>
    <row r="267" spans="1:15" ht="12.75" customHeight="1" outlineLevel="1" x14ac:dyDescent="0.2">
      <c r="A267" s="164"/>
      <c r="B267" s="158"/>
      <c r="C267" s="160"/>
      <c r="D267" s="176" t="s">
        <v>50</v>
      </c>
      <c r="E267" s="158">
        <v>46402</v>
      </c>
      <c r="F267" s="167">
        <v>0.06</v>
      </c>
      <c r="G267" s="167">
        <v>5.6500000000000002E-2</v>
      </c>
      <c r="H267" s="167">
        <v>5.9499999999999997E-2</v>
      </c>
      <c r="I267" s="165">
        <v>5.6747100000000002E-2</v>
      </c>
      <c r="J267" s="159">
        <v>5.7500000000000002E-2</v>
      </c>
      <c r="K267" s="196">
        <v>1222500</v>
      </c>
      <c r="L267" s="196">
        <v>200000</v>
      </c>
      <c r="M267" s="172">
        <f t="shared" si="38"/>
        <v>6.1124999999999998</v>
      </c>
    </row>
    <row r="268" spans="1:15" ht="12.75" customHeight="1" outlineLevel="1" x14ac:dyDescent="0.2">
      <c r="A268" s="156"/>
      <c r="B268" s="156"/>
      <c r="C268" s="156"/>
      <c r="D268" s="176" t="s">
        <v>150</v>
      </c>
      <c r="E268" s="158">
        <v>49749</v>
      </c>
      <c r="F268" s="167">
        <v>6.8750000000000006E-2</v>
      </c>
      <c r="G268" s="167">
        <v>6.3E-2</v>
      </c>
      <c r="H268" s="167">
        <v>6.5500000000000003E-2</v>
      </c>
      <c r="I268" s="198">
        <v>6.4174499999999995E-2</v>
      </c>
      <c r="J268" s="197">
        <v>6.4600000000000005E-2</v>
      </c>
      <c r="K268" s="196">
        <v>5625000</v>
      </c>
      <c r="L268" s="195">
        <v>1750000</v>
      </c>
      <c r="M268" s="172">
        <f t="shared" si="38"/>
        <v>3.2142857142857144</v>
      </c>
    </row>
    <row r="269" spans="1:15" ht="12.75" customHeight="1" outlineLevel="1" x14ac:dyDescent="0.2">
      <c r="A269" s="156"/>
      <c r="B269" s="156"/>
      <c r="C269" s="156"/>
      <c r="D269" s="176" t="s">
        <v>147</v>
      </c>
      <c r="E269" s="158">
        <v>54589</v>
      </c>
      <c r="F269" s="167">
        <v>6.5000000000000002E-2</v>
      </c>
      <c r="G269" s="167">
        <v>6.4299999999999996E-2</v>
      </c>
      <c r="H269" s="167">
        <v>6.6699999999999995E-2</v>
      </c>
      <c r="I269" s="165">
        <v>6.4697699999999997E-2</v>
      </c>
      <c r="J269" s="159">
        <v>6.4799999999999996E-2</v>
      </c>
      <c r="K269" s="196">
        <v>3461500</v>
      </c>
      <c r="L269" s="196">
        <v>1650000</v>
      </c>
      <c r="M269" s="172">
        <f t="shared" si="38"/>
        <v>2.0978787878787877</v>
      </c>
    </row>
    <row r="270" spans="1:15" ht="12.75" customHeight="1" outlineLevel="1" x14ac:dyDescent="0.2">
      <c r="A270" s="251"/>
      <c r="B270" s="156"/>
      <c r="C270" s="252"/>
      <c r="D270" s="176" t="s">
        <v>148</v>
      </c>
      <c r="E270" s="158">
        <v>53858</v>
      </c>
      <c r="F270" s="167">
        <v>6.7500000000000004E-2</v>
      </c>
      <c r="G270" s="167">
        <v>6.6100000000000006E-2</v>
      </c>
      <c r="H270" s="167">
        <v>6.8000000000000005E-2</v>
      </c>
      <c r="I270" s="165">
        <v>6.6753199999999999E-2</v>
      </c>
      <c r="J270" s="198">
        <v>6.6900000000000001E-2</v>
      </c>
      <c r="K270" s="196">
        <v>2250400</v>
      </c>
      <c r="L270" s="196">
        <v>1650000</v>
      </c>
      <c r="M270" s="172">
        <f t="shared" si="38"/>
        <v>1.3638787878787879</v>
      </c>
    </row>
    <row r="271" spans="1:15" s="1" customFormat="1" ht="12.75" customHeight="1" outlineLevel="1" x14ac:dyDescent="0.2">
      <c r="A271" s="437" t="s">
        <v>121</v>
      </c>
      <c r="B271" s="432"/>
      <c r="C271" s="432"/>
      <c r="D271" s="432"/>
      <c r="E271" s="432"/>
      <c r="F271" s="432"/>
      <c r="G271" s="432"/>
      <c r="H271" s="432"/>
      <c r="I271" s="432"/>
      <c r="J271" s="438"/>
      <c r="K271" s="301">
        <f>SUM(K265:K270)</f>
        <v>24315400</v>
      </c>
      <c r="L271" s="301">
        <f>SUM(L266:L270)</f>
        <v>6000000</v>
      </c>
      <c r="M271" s="357"/>
    </row>
    <row r="272" spans="1:15" ht="12.75" customHeight="1" x14ac:dyDescent="0.2">
      <c r="A272" s="354">
        <v>45127</v>
      </c>
      <c r="B272" s="354">
        <v>45131</v>
      </c>
      <c r="C272" s="358" t="s">
        <v>158</v>
      </c>
      <c r="D272" s="311" t="s">
        <v>214</v>
      </c>
      <c r="E272" s="388">
        <v>46218</v>
      </c>
      <c r="F272" s="315">
        <v>5.8999999999999997E-2</v>
      </c>
      <c r="G272" s="315"/>
      <c r="H272" s="315"/>
      <c r="I272" s="316"/>
      <c r="J272" s="316"/>
      <c r="K272" s="320">
        <v>20000000</v>
      </c>
      <c r="L272" s="362">
        <v>20000000</v>
      </c>
      <c r="M272" s="360">
        <f>IF(L272=0,0,K272/L272)</f>
        <v>1</v>
      </c>
    </row>
    <row r="273" spans="1:13" ht="12.75" customHeight="1" x14ac:dyDescent="0.2">
      <c r="A273" s="355"/>
      <c r="B273" s="355"/>
      <c r="C273" s="359"/>
      <c r="D273" s="374" t="s">
        <v>233</v>
      </c>
      <c r="E273" s="389">
        <v>47314</v>
      </c>
      <c r="F273" s="376">
        <v>6.0999999999999999E-2</v>
      </c>
      <c r="G273" s="376"/>
      <c r="H273" s="376"/>
      <c r="I273" s="386"/>
      <c r="J273" s="386"/>
      <c r="K273" s="387">
        <v>8900050</v>
      </c>
      <c r="L273" s="363">
        <v>8900050</v>
      </c>
      <c r="M273" s="361">
        <f>IF(L273=0,0,K273/L273)</f>
        <v>1</v>
      </c>
    </row>
    <row r="274" spans="1:13" ht="12" customHeight="1" x14ac:dyDescent="0.2">
      <c r="A274" s="412" t="s">
        <v>121</v>
      </c>
      <c r="B274" s="413"/>
      <c r="C274" s="399"/>
      <c r="D274" s="399"/>
      <c r="E274" s="399"/>
      <c r="F274" s="399"/>
      <c r="G274" s="399"/>
      <c r="H274" s="399"/>
      <c r="I274" s="399"/>
      <c r="J274" s="414"/>
      <c r="K274" s="302">
        <f>SUM(K272:K273)</f>
        <v>28900050</v>
      </c>
      <c r="L274" s="302">
        <f>SUM(L272:L273)</f>
        <v>28900050</v>
      </c>
      <c r="M274" s="307"/>
    </row>
    <row r="275" spans="1:13" ht="12" customHeight="1" outlineLevel="1" x14ac:dyDescent="0.2">
      <c r="A275" s="326">
        <v>45132</v>
      </c>
      <c r="B275" s="309">
        <v>45134</v>
      </c>
      <c r="C275" s="327" t="s">
        <v>136</v>
      </c>
      <c r="D275" s="283" t="s">
        <v>205</v>
      </c>
      <c r="E275" s="284">
        <v>45224</v>
      </c>
      <c r="F275" s="285" t="s">
        <v>128</v>
      </c>
      <c r="G275" s="341">
        <v>0</v>
      </c>
      <c r="H275" s="341">
        <v>0</v>
      </c>
      <c r="I275" s="316">
        <v>0</v>
      </c>
      <c r="J275" s="316">
        <v>0</v>
      </c>
      <c r="K275" s="347">
        <v>5000</v>
      </c>
      <c r="L275" s="349" t="s">
        <v>130</v>
      </c>
      <c r="M275" s="352" t="s">
        <v>130</v>
      </c>
    </row>
    <row r="276" spans="1:13" ht="12" customHeight="1" outlineLevel="1" x14ac:dyDescent="0.2">
      <c r="A276" s="326"/>
      <c r="B276" s="281"/>
      <c r="C276" s="327"/>
      <c r="D276" s="283" t="s">
        <v>206</v>
      </c>
      <c r="E276" s="284">
        <v>45498</v>
      </c>
      <c r="F276" s="285" t="s">
        <v>128</v>
      </c>
      <c r="G276" s="285">
        <v>5.3400000000000003E-2</v>
      </c>
      <c r="H276" s="285">
        <v>5.5500000000000001E-2</v>
      </c>
      <c r="I276" s="341">
        <v>5.3780000000000001E-2</v>
      </c>
      <c r="J276" s="346">
        <v>5.45E-2</v>
      </c>
      <c r="K276" s="347">
        <v>1550000</v>
      </c>
      <c r="L276" s="350">
        <v>750000</v>
      </c>
      <c r="M276" s="353">
        <f>IF(L276=0,0,K276/L276)</f>
        <v>2.0666666666666669</v>
      </c>
    </row>
    <row r="277" spans="1:13" ht="12.75" customHeight="1" outlineLevel="1" x14ac:dyDescent="0.2">
      <c r="A277" s="326"/>
      <c r="B277" s="284"/>
      <c r="C277" s="327"/>
      <c r="D277" s="283" t="s">
        <v>139</v>
      </c>
      <c r="E277" s="284">
        <v>46980</v>
      </c>
      <c r="F277" s="285">
        <v>6.3750000000000001E-2</v>
      </c>
      <c r="G277" s="285">
        <v>5.8099999999999999E-2</v>
      </c>
      <c r="H277" s="285">
        <v>6.0199999999999997E-2</v>
      </c>
      <c r="I277" s="286">
        <v>5.8998299999999997E-2</v>
      </c>
      <c r="J277" s="321">
        <v>5.9200000000000003E-2</v>
      </c>
      <c r="K277" s="347">
        <v>3361100</v>
      </c>
      <c r="L277" s="351">
        <v>2350000</v>
      </c>
      <c r="M277" s="353">
        <f t="shared" ref="M277:M281" si="39">IF(L277=0,0,K277/L277)</f>
        <v>1.4302553191489362</v>
      </c>
    </row>
    <row r="278" spans="1:13" ht="12.75" customHeight="1" outlineLevel="1" x14ac:dyDescent="0.2">
      <c r="A278" s="305"/>
      <c r="B278" s="291"/>
      <c r="C278" s="306"/>
      <c r="D278" s="283" t="s">
        <v>140</v>
      </c>
      <c r="E278" s="284">
        <v>48625</v>
      </c>
      <c r="F278" s="285">
        <v>7.0000000000000007E-2</v>
      </c>
      <c r="G278" s="285">
        <v>6.1499999999999999E-2</v>
      </c>
      <c r="H278" s="285">
        <v>6.3100000000000003E-2</v>
      </c>
      <c r="I278" s="324">
        <v>6.1998600000000001E-2</v>
      </c>
      <c r="J278" s="325">
        <v>6.2100000000000002E-2</v>
      </c>
      <c r="K278" s="347">
        <v>12762200</v>
      </c>
      <c r="L278" s="350">
        <v>4100000</v>
      </c>
      <c r="M278" s="353">
        <f t="shared" si="39"/>
        <v>3.112731707317073</v>
      </c>
    </row>
    <row r="279" spans="1:13" ht="12.75" customHeight="1" outlineLevel="1" x14ac:dyDescent="0.2">
      <c r="A279" s="305"/>
      <c r="B279" s="291"/>
      <c r="C279" s="306"/>
      <c r="D279" s="283" t="s">
        <v>142</v>
      </c>
      <c r="E279" s="284">
        <v>50571</v>
      </c>
      <c r="F279" s="285">
        <v>7.1249999999999994E-2</v>
      </c>
      <c r="G279" s="285">
        <v>6.3E-2</v>
      </c>
      <c r="H279" s="285">
        <v>6.4699999999999994E-2</v>
      </c>
      <c r="I279" s="286">
        <v>6.3399200000000003E-2</v>
      </c>
      <c r="J279" s="321">
        <v>6.3600000000000004E-2</v>
      </c>
      <c r="K279" s="347">
        <v>6578800</v>
      </c>
      <c r="L279" s="351">
        <v>2300000</v>
      </c>
      <c r="M279" s="353">
        <f t="shared" si="39"/>
        <v>2.8603478260869566</v>
      </c>
    </row>
    <row r="280" spans="1:13" ht="12.75" customHeight="1" outlineLevel="1" x14ac:dyDescent="0.2">
      <c r="A280" s="305"/>
      <c r="B280" s="291"/>
      <c r="C280" s="306"/>
      <c r="D280" s="283" t="s">
        <v>141</v>
      </c>
      <c r="E280" s="284">
        <v>52397</v>
      </c>
      <c r="F280" s="285">
        <v>7.1249999999999994E-2</v>
      </c>
      <c r="G280" s="285">
        <v>6.4000000000000001E-2</v>
      </c>
      <c r="H280" s="285">
        <v>6.5299999999999997E-2</v>
      </c>
      <c r="I280" s="286">
        <v>6.4193299999999995E-2</v>
      </c>
      <c r="J280" s="324">
        <v>6.4399999999999999E-2</v>
      </c>
      <c r="K280" s="348">
        <v>3541000</v>
      </c>
      <c r="L280" s="351">
        <v>1300000</v>
      </c>
      <c r="M280" s="353">
        <f t="shared" si="39"/>
        <v>2.723846153846154</v>
      </c>
    </row>
    <row r="281" spans="1:13" ht="12.75" customHeight="1" outlineLevel="1" x14ac:dyDescent="0.2">
      <c r="A281" s="305"/>
      <c r="B281" s="328"/>
      <c r="C281" s="306"/>
      <c r="D281" s="283" t="s">
        <v>137</v>
      </c>
      <c r="E281" s="284">
        <v>55380</v>
      </c>
      <c r="F281" s="285">
        <v>6.8750000000000006E-2</v>
      </c>
      <c r="G281" s="285">
        <v>6.6400000000000001E-2</v>
      </c>
      <c r="H281" s="285">
        <v>6.8000000000000005E-2</v>
      </c>
      <c r="I281" s="325">
        <v>6.6680699999999996E-2</v>
      </c>
      <c r="J281" s="324">
        <v>6.6799999999999998E-2</v>
      </c>
      <c r="K281" s="348">
        <v>3201400</v>
      </c>
      <c r="L281" s="350">
        <v>2200000</v>
      </c>
      <c r="M281" s="364">
        <f t="shared" si="39"/>
        <v>1.4551818181818181</v>
      </c>
    </row>
    <row r="282" spans="1:13" s="1" customFormat="1" ht="12.75" customHeight="1" outlineLevel="1" x14ac:dyDescent="0.2">
      <c r="A282" s="398" t="s">
        <v>121</v>
      </c>
      <c r="B282" s="399"/>
      <c r="C282" s="400"/>
      <c r="D282" s="400"/>
      <c r="E282" s="400"/>
      <c r="F282" s="400"/>
      <c r="G282" s="400"/>
      <c r="H282" s="400"/>
      <c r="I282" s="400"/>
      <c r="J282" s="401"/>
      <c r="K282" s="294">
        <f>SUM(K275:K281)</f>
        <v>30999500</v>
      </c>
      <c r="L282" s="294">
        <f>SUM(L276:L281)</f>
        <v>13000000</v>
      </c>
      <c r="M282" s="308"/>
    </row>
    <row r="283" spans="1:13" ht="12.75" customHeight="1" x14ac:dyDescent="0.2">
      <c r="A283" s="402" t="s">
        <v>204</v>
      </c>
      <c r="B283" s="403"/>
      <c r="C283" s="403"/>
      <c r="D283" s="403"/>
      <c r="E283" s="403"/>
      <c r="F283" s="403"/>
      <c r="G283" s="403"/>
      <c r="H283" s="403"/>
      <c r="I283" s="403"/>
      <c r="J283" s="404"/>
      <c r="K283" s="177">
        <f>K252+K260+K245+K243+K271+K274+K282+K264+K235</f>
        <v>206837868.90799999</v>
      </c>
      <c r="L283" s="177">
        <f>L252+L260+L245+L243+L271+L274+L282+L264+L235</f>
        <v>84109568.908000007</v>
      </c>
      <c r="M283" s="166"/>
    </row>
    <row r="284" spans="1:13" ht="12.75" customHeight="1" x14ac:dyDescent="0.2">
      <c r="A284" s="402" t="s">
        <v>207</v>
      </c>
      <c r="B284" s="403"/>
      <c r="C284" s="403"/>
      <c r="D284" s="403"/>
      <c r="E284" s="403"/>
      <c r="F284" s="403"/>
      <c r="G284" s="403"/>
      <c r="H284" s="403"/>
      <c r="I284" s="403"/>
      <c r="J284" s="404"/>
      <c r="K284" s="177">
        <f>SUM(K233+K283)</f>
        <v>1282505693.7520001</v>
      </c>
      <c r="L284" s="177">
        <f>SUM(L233+L283)</f>
        <v>529657293.75199997</v>
      </c>
      <c r="M284" s="166"/>
    </row>
    <row r="285" spans="1:13" ht="12" customHeight="1" outlineLevel="1" x14ac:dyDescent="0.2">
      <c r="A285" s="164">
        <v>45139</v>
      </c>
      <c r="B285" s="164">
        <v>45141</v>
      </c>
      <c r="C285" s="160" t="s">
        <v>136</v>
      </c>
      <c r="D285" s="176" t="s">
        <v>203</v>
      </c>
      <c r="E285" s="158">
        <v>45321</v>
      </c>
      <c r="F285" s="167" t="s">
        <v>128</v>
      </c>
      <c r="G285" s="167">
        <v>4.8500000000000001E-2</v>
      </c>
      <c r="H285" s="167">
        <v>4.8500000000000001E-2</v>
      </c>
      <c r="I285" s="218" t="s">
        <v>130</v>
      </c>
      <c r="J285" s="250" t="s">
        <v>130</v>
      </c>
      <c r="K285" s="219">
        <v>2060000</v>
      </c>
      <c r="L285" s="196" t="s">
        <v>130</v>
      </c>
      <c r="M285" s="249" t="s">
        <v>130</v>
      </c>
    </row>
    <row r="286" spans="1:13" ht="12" customHeight="1" outlineLevel="1" x14ac:dyDescent="0.2">
      <c r="A286" s="164"/>
      <c r="B286" s="164"/>
      <c r="C286" s="160"/>
      <c r="D286" s="176" t="s">
        <v>146</v>
      </c>
      <c r="E286" s="158">
        <v>45884</v>
      </c>
      <c r="F286" s="167">
        <v>5.3749999999999999E-2</v>
      </c>
      <c r="G286" s="167">
        <v>5.8500000000000003E-2</v>
      </c>
      <c r="H286" s="167">
        <v>6.0400000000000002E-2</v>
      </c>
      <c r="I286" s="218">
        <v>5.9299699999999997E-2</v>
      </c>
      <c r="J286" s="250">
        <v>5.9700000000000003E-2</v>
      </c>
      <c r="K286" s="219">
        <v>8743500</v>
      </c>
      <c r="L286" s="196">
        <v>1750000</v>
      </c>
      <c r="M286" s="172">
        <f t="shared" ref="M286:M290" si="40">IF(L286=0,0,K286/L286)</f>
        <v>4.9962857142857144</v>
      </c>
    </row>
    <row r="287" spans="1:13" ht="12.75" customHeight="1" outlineLevel="1" x14ac:dyDescent="0.2">
      <c r="A287" s="164"/>
      <c r="B287" s="158"/>
      <c r="C287" s="160"/>
      <c r="D287" s="176" t="s">
        <v>50</v>
      </c>
      <c r="E287" s="158">
        <v>46402</v>
      </c>
      <c r="F287" s="167">
        <v>0.06</v>
      </c>
      <c r="G287" s="167">
        <v>5.7799999999999997E-2</v>
      </c>
      <c r="H287" s="167">
        <v>0.06</v>
      </c>
      <c r="I287" s="165">
        <v>5.8032500000000001E-2</v>
      </c>
      <c r="J287" s="159">
        <v>5.8599999999999999E-2</v>
      </c>
      <c r="K287" s="196">
        <v>2605000</v>
      </c>
      <c r="L287" s="196">
        <v>900000</v>
      </c>
      <c r="M287" s="172">
        <f t="shared" si="40"/>
        <v>2.8944444444444444</v>
      </c>
    </row>
    <row r="288" spans="1:13" ht="12.75" customHeight="1" outlineLevel="1" x14ac:dyDescent="0.2">
      <c r="A288" s="156"/>
      <c r="B288" s="156"/>
      <c r="C288" s="156"/>
      <c r="D288" s="2" t="s">
        <v>153</v>
      </c>
      <c r="E288" s="158">
        <v>47376</v>
      </c>
      <c r="F288" s="204">
        <v>6.6250000000000003E-2</v>
      </c>
      <c r="G288" s="167">
        <v>5.8999999999999997E-2</v>
      </c>
      <c r="H288" s="167">
        <v>6.2600000000000003E-2</v>
      </c>
      <c r="I288" s="198">
        <v>6.0333699999999997E-2</v>
      </c>
      <c r="J288" s="197">
        <v>6.0999999999999999E-2</v>
      </c>
      <c r="K288" s="196">
        <v>4187000</v>
      </c>
      <c r="L288" s="195">
        <v>1950000</v>
      </c>
      <c r="M288" s="172">
        <f t="shared" si="40"/>
        <v>2.1471794871794874</v>
      </c>
    </row>
    <row r="289" spans="1:13" ht="12.75" customHeight="1" outlineLevel="1" x14ac:dyDescent="0.2">
      <c r="A289" s="156"/>
      <c r="B289" s="156"/>
      <c r="C289" s="156"/>
      <c r="D289" s="176" t="s">
        <v>147</v>
      </c>
      <c r="E289" s="158">
        <v>54589</v>
      </c>
      <c r="F289" s="167">
        <v>6.5000000000000002E-2</v>
      </c>
      <c r="G289" s="167">
        <v>6.3700000000000007E-2</v>
      </c>
      <c r="H289" s="167">
        <v>6.5000000000000002E-2</v>
      </c>
      <c r="I289" s="165">
        <v>6.4300899999999994E-2</v>
      </c>
      <c r="J289" s="159">
        <v>6.4500000000000002E-2</v>
      </c>
      <c r="K289" s="196">
        <v>3487000</v>
      </c>
      <c r="L289" s="196">
        <v>1150000</v>
      </c>
      <c r="M289" s="172">
        <f t="shared" si="40"/>
        <v>3.0321739130434784</v>
      </c>
    </row>
    <row r="290" spans="1:13" ht="12.75" customHeight="1" outlineLevel="1" x14ac:dyDescent="0.2">
      <c r="A290" s="251"/>
      <c r="B290" s="156"/>
      <c r="C290" s="252"/>
      <c r="D290" s="176" t="s">
        <v>148</v>
      </c>
      <c r="E290" s="158">
        <v>53858</v>
      </c>
      <c r="F290" s="167">
        <v>6.7500000000000004E-2</v>
      </c>
      <c r="G290" s="167">
        <v>6.6400000000000001E-2</v>
      </c>
      <c r="H290" s="167">
        <v>6.7699999999999996E-2</v>
      </c>
      <c r="I290" s="165">
        <v>6.6628800000000002E-2</v>
      </c>
      <c r="J290" s="198">
        <v>6.7000000000000004E-2</v>
      </c>
      <c r="K290" s="196">
        <v>964900</v>
      </c>
      <c r="L290" s="196">
        <v>250000</v>
      </c>
      <c r="M290" s="172">
        <f t="shared" si="40"/>
        <v>3.8595999999999999</v>
      </c>
    </row>
    <row r="291" spans="1:13" s="1" customFormat="1" ht="12.75" customHeight="1" outlineLevel="1" x14ac:dyDescent="0.2">
      <c r="A291" s="417" t="s">
        <v>121</v>
      </c>
      <c r="B291" s="432"/>
      <c r="C291" s="418"/>
      <c r="D291" s="418"/>
      <c r="E291" s="418"/>
      <c r="F291" s="418"/>
      <c r="G291" s="418"/>
      <c r="H291" s="418"/>
      <c r="I291" s="418"/>
      <c r="J291" s="419"/>
      <c r="K291" s="200">
        <f>SUM(K285:K290)</f>
        <v>22047400</v>
      </c>
      <c r="L291" s="200">
        <f>SUM(L286:L290)</f>
        <v>6000000</v>
      </c>
      <c r="M291" s="357"/>
    </row>
    <row r="292" spans="1:13" ht="12" customHeight="1" outlineLevel="1" x14ac:dyDescent="0.2">
      <c r="A292" s="326">
        <v>45146</v>
      </c>
      <c r="B292" s="309">
        <v>45148</v>
      </c>
      <c r="C292" s="327" t="s">
        <v>136</v>
      </c>
      <c r="D292" s="283" t="s">
        <v>208</v>
      </c>
      <c r="E292" s="284">
        <v>45239</v>
      </c>
      <c r="F292" s="285" t="s">
        <v>128</v>
      </c>
      <c r="G292" s="341">
        <v>4.4999999999999998E-2</v>
      </c>
      <c r="H292" s="341">
        <v>6.25E-2</v>
      </c>
      <c r="I292" s="316">
        <v>4.5249999999999999E-2</v>
      </c>
      <c r="J292" s="316">
        <v>4.5499999999999999E-2</v>
      </c>
      <c r="K292" s="347">
        <v>1610000</v>
      </c>
      <c r="L292" s="349">
        <v>100000</v>
      </c>
      <c r="M292" s="319">
        <f>IF(L292=0,0,K292/L292)</f>
        <v>16.100000000000001</v>
      </c>
    </row>
    <row r="293" spans="1:13" ht="12" customHeight="1" outlineLevel="1" x14ac:dyDescent="0.2">
      <c r="A293" s="326"/>
      <c r="B293" s="281"/>
      <c r="C293" s="327"/>
      <c r="D293" s="283" t="s">
        <v>209</v>
      </c>
      <c r="E293" s="284">
        <v>45441</v>
      </c>
      <c r="F293" s="285" t="s">
        <v>128</v>
      </c>
      <c r="G293" s="285">
        <v>5.2400000000000002E-2</v>
      </c>
      <c r="H293" s="285">
        <v>5.5E-2</v>
      </c>
      <c r="I293" s="341">
        <v>0</v>
      </c>
      <c r="J293" s="346">
        <v>0</v>
      </c>
      <c r="K293" s="347">
        <v>1771000</v>
      </c>
      <c r="L293" s="350">
        <v>0</v>
      </c>
      <c r="M293" s="353">
        <f>IF(L293=0,0,K292/L293)</f>
        <v>0</v>
      </c>
    </row>
    <row r="294" spans="1:13" ht="12.75" customHeight="1" outlineLevel="1" x14ac:dyDescent="0.2">
      <c r="A294" s="326"/>
      <c r="B294" s="284"/>
      <c r="C294" s="327"/>
      <c r="D294" s="283" t="s">
        <v>139</v>
      </c>
      <c r="E294" s="284">
        <v>46980</v>
      </c>
      <c r="F294" s="285">
        <v>6.3750000000000001E-2</v>
      </c>
      <c r="G294" s="285">
        <v>6.0100000000000001E-2</v>
      </c>
      <c r="H294" s="285">
        <v>6.13E-2</v>
      </c>
      <c r="I294" s="286">
        <v>6.0399700000000001E-2</v>
      </c>
      <c r="J294" s="321">
        <v>6.0499999999999998E-2</v>
      </c>
      <c r="K294" s="347">
        <v>3603400</v>
      </c>
      <c r="L294" s="351">
        <v>450000</v>
      </c>
      <c r="M294" s="290">
        <f>IF(L294=0,0,K294/L294)</f>
        <v>8.0075555555555553</v>
      </c>
    </row>
    <row r="295" spans="1:13" ht="12.75" customHeight="1" outlineLevel="1" x14ac:dyDescent="0.2">
      <c r="A295" s="305"/>
      <c r="B295" s="291"/>
      <c r="C295" s="306"/>
      <c r="D295" s="283" t="s">
        <v>157</v>
      </c>
      <c r="E295" s="284">
        <v>47771</v>
      </c>
      <c r="F295" s="285">
        <v>7.3749999999999996E-2</v>
      </c>
      <c r="G295" s="285">
        <v>6.1499999999999999E-2</v>
      </c>
      <c r="H295" s="285">
        <v>6.54E-2</v>
      </c>
      <c r="I295" s="324">
        <v>6.2295900000000001E-2</v>
      </c>
      <c r="J295" s="325">
        <v>6.25E-2</v>
      </c>
      <c r="K295" s="347">
        <v>5720000</v>
      </c>
      <c r="L295" s="350">
        <v>1050000</v>
      </c>
      <c r="M295" s="290">
        <f t="shared" ref="M295:M299" si="41">IF(L295=0,0,K295/L295)</f>
        <v>5.4476190476190478</v>
      </c>
    </row>
    <row r="296" spans="1:13" ht="12.75" customHeight="1" outlineLevel="1" x14ac:dyDescent="0.2">
      <c r="A296" s="305"/>
      <c r="B296" s="291"/>
      <c r="C296" s="306"/>
      <c r="D296" s="283" t="s">
        <v>140</v>
      </c>
      <c r="E296" s="284">
        <v>48625</v>
      </c>
      <c r="F296" s="285">
        <v>7.0000000000000007E-2</v>
      </c>
      <c r="G296" s="285">
        <v>6.3299999999999995E-2</v>
      </c>
      <c r="H296" s="285">
        <v>6.4500000000000002E-2</v>
      </c>
      <c r="I296" s="324">
        <v>6.3398899999999994E-2</v>
      </c>
      <c r="J296" s="325">
        <v>6.3500000000000001E-2</v>
      </c>
      <c r="K296" s="347">
        <v>9583500</v>
      </c>
      <c r="L296" s="350">
        <v>2250000</v>
      </c>
      <c r="M296" s="290">
        <f t="shared" si="41"/>
        <v>4.2593333333333332</v>
      </c>
    </row>
    <row r="297" spans="1:13" ht="12.75" customHeight="1" outlineLevel="1" x14ac:dyDescent="0.2">
      <c r="A297" s="305"/>
      <c r="B297" s="291"/>
      <c r="C297" s="306"/>
      <c r="D297" s="283" t="s">
        <v>142</v>
      </c>
      <c r="E297" s="284">
        <v>50571</v>
      </c>
      <c r="F297" s="285">
        <v>7.1249999999999994E-2</v>
      </c>
      <c r="G297" s="285">
        <v>6.4500000000000002E-2</v>
      </c>
      <c r="H297" s="285">
        <v>6.6000000000000003E-2</v>
      </c>
      <c r="I297" s="286">
        <v>6.4799800000000005E-2</v>
      </c>
      <c r="J297" s="321">
        <v>6.4899999999999999E-2</v>
      </c>
      <c r="K297" s="347">
        <v>7357300</v>
      </c>
      <c r="L297" s="351">
        <v>4350000</v>
      </c>
      <c r="M297" s="290">
        <f t="shared" si="41"/>
        <v>1.6913333333333334</v>
      </c>
    </row>
    <row r="298" spans="1:13" ht="12.75" customHeight="1" outlineLevel="1" x14ac:dyDescent="0.2">
      <c r="A298" s="305"/>
      <c r="B298" s="291"/>
      <c r="C298" s="306"/>
      <c r="D298" s="283" t="s">
        <v>141</v>
      </c>
      <c r="E298" s="284">
        <v>52397</v>
      </c>
      <c r="F298" s="285">
        <v>7.1249999999999994E-2</v>
      </c>
      <c r="G298" s="285">
        <v>6.5299999999999997E-2</v>
      </c>
      <c r="H298" s="285">
        <v>6.7000000000000004E-2</v>
      </c>
      <c r="I298" s="286">
        <v>6.5491199999999999E-2</v>
      </c>
      <c r="J298" s="324">
        <v>6.6100000000000006E-2</v>
      </c>
      <c r="K298" s="348">
        <v>1153000</v>
      </c>
      <c r="L298" s="351">
        <v>900000</v>
      </c>
      <c r="M298" s="290">
        <f t="shared" si="41"/>
        <v>1.2811111111111111</v>
      </c>
    </row>
    <row r="299" spans="1:13" ht="12.75" customHeight="1" outlineLevel="1" x14ac:dyDescent="0.2">
      <c r="A299" s="305"/>
      <c r="B299" s="328"/>
      <c r="C299" s="306"/>
      <c r="D299" s="283" t="s">
        <v>137</v>
      </c>
      <c r="E299" s="284">
        <v>55380</v>
      </c>
      <c r="F299" s="285">
        <v>6.8750000000000006E-2</v>
      </c>
      <c r="G299" s="285">
        <v>6.6900000000000001E-2</v>
      </c>
      <c r="H299" s="285">
        <v>7.0000000000000007E-2</v>
      </c>
      <c r="I299" s="325">
        <v>6.7094500000000001E-2</v>
      </c>
      <c r="J299" s="324">
        <v>6.7199999999999996E-2</v>
      </c>
      <c r="K299" s="348">
        <v>1742300</v>
      </c>
      <c r="L299" s="350">
        <v>750000</v>
      </c>
      <c r="M299" s="332">
        <f t="shared" si="41"/>
        <v>2.3230666666666666</v>
      </c>
    </row>
    <row r="300" spans="1:13" s="1" customFormat="1" ht="12.75" customHeight="1" outlineLevel="1" x14ac:dyDescent="0.2">
      <c r="A300" s="398" t="s">
        <v>121</v>
      </c>
      <c r="B300" s="399"/>
      <c r="C300" s="400"/>
      <c r="D300" s="400"/>
      <c r="E300" s="400"/>
      <c r="F300" s="400"/>
      <c r="G300" s="400"/>
      <c r="H300" s="400"/>
      <c r="I300" s="400"/>
      <c r="J300" s="401"/>
      <c r="K300" s="294">
        <f>SUM(K292:K299)</f>
        <v>32540500</v>
      </c>
      <c r="L300" s="294">
        <f>SUM(L292:L299)</f>
        <v>9850000</v>
      </c>
      <c r="M300" s="308"/>
    </row>
    <row r="301" spans="1:13" ht="12.75" customHeight="1" outlineLevel="1" x14ac:dyDescent="0.2">
      <c r="A301" s="281">
        <v>45146</v>
      </c>
      <c r="B301" s="281">
        <v>45149</v>
      </c>
      <c r="C301" s="282" t="s">
        <v>138</v>
      </c>
      <c r="D301" s="283" t="s">
        <v>98</v>
      </c>
      <c r="E301" s="284">
        <v>48714</v>
      </c>
      <c r="F301" s="285">
        <v>6.6250000000000003E-2</v>
      </c>
      <c r="G301" s="285"/>
      <c r="H301" s="285"/>
      <c r="I301" s="286">
        <v>6.3500000000000001E-2</v>
      </c>
      <c r="J301" s="324"/>
      <c r="K301" s="365">
        <v>3500000</v>
      </c>
      <c r="L301" s="365">
        <v>3500000</v>
      </c>
      <c r="M301" s="319"/>
    </row>
    <row r="302" spans="1:13" s="1" customFormat="1" ht="12.75" customHeight="1" outlineLevel="1" x14ac:dyDescent="0.2">
      <c r="A302" s="398" t="s">
        <v>121</v>
      </c>
      <c r="B302" s="400"/>
      <c r="C302" s="400"/>
      <c r="D302" s="400"/>
      <c r="E302" s="400"/>
      <c r="F302" s="400"/>
      <c r="G302" s="400"/>
      <c r="H302" s="400"/>
      <c r="I302" s="400"/>
      <c r="J302" s="401"/>
      <c r="K302" s="294">
        <f>K301</f>
        <v>3500000</v>
      </c>
      <c r="L302" s="294">
        <f>L301</f>
        <v>3500000</v>
      </c>
      <c r="M302" s="295"/>
    </row>
    <row r="303" spans="1:13" ht="12" customHeight="1" outlineLevel="1" x14ac:dyDescent="0.2">
      <c r="A303" s="164">
        <v>45153</v>
      </c>
      <c r="B303" s="164">
        <v>45156</v>
      </c>
      <c r="C303" s="160" t="s">
        <v>136</v>
      </c>
      <c r="D303" s="176" t="s">
        <v>210</v>
      </c>
      <c r="E303" s="158">
        <v>45336</v>
      </c>
      <c r="F303" s="167" t="s">
        <v>128</v>
      </c>
      <c r="G303" s="167">
        <v>4.8500000000000001E-2</v>
      </c>
      <c r="H303" s="167">
        <v>4.9099999999999998E-2</v>
      </c>
      <c r="I303" s="218">
        <v>4.8788900000000003E-2</v>
      </c>
      <c r="J303" s="250">
        <v>4.9099999999999998E-2</v>
      </c>
      <c r="K303" s="196">
        <v>3100000</v>
      </c>
      <c r="L303" s="219">
        <v>1800000</v>
      </c>
      <c r="M303" s="172">
        <f>IF(L303=0,0,K303/L303)</f>
        <v>1.7222222222222223</v>
      </c>
    </row>
    <row r="304" spans="1:13" ht="12" customHeight="1" outlineLevel="1" x14ac:dyDescent="0.2">
      <c r="A304" s="164"/>
      <c r="B304" s="164"/>
      <c r="C304" s="160"/>
      <c r="D304" s="176" t="s">
        <v>146</v>
      </c>
      <c r="E304" s="158">
        <v>45884</v>
      </c>
      <c r="F304" s="167">
        <v>5.3749999999999999E-2</v>
      </c>
      <c r="G304" s="167">
        <v>5.8500000000000003E-2</v>
      </c>
      <c r="H304" s="167">
        <v>6.2E-2</v>
      </c>
      <c r="I304" s="218">
        <v>6.0112100000000002E-2</v>
      </c>
      <c r="J304" s="250">
        <v>6.0199999999999997E-2</v>
      </c>
      <c r="K304" s="196">
        <v>11612000</v>
      </c>
      <c r="L304" s="219">
        <v>3500000</v>
      </c>
      <c r="M304" s="172">
        <f t="shared" ref="M304:M308" si="42">IF(L304=0,0,K304/L304)</f>
        <v>3.3177142857142856</v>
      </c>
    </row>
    <row r="305" spans="1:13" ht="12.75" customHeight="1" outlineLevel="1" x14ac:dyDescent="0.2">
      <c r="A305" s="164"/>
      <c r="B305" s="158"/>
      <c r="C305" s="160"/>
      <c r="D305" s="176" t="s">
        <v>50</v>
      </c>
      <c r="E305" s="158">
        <v>46402</v>
      </c>
      <c r="F305" s="167">
        <v>0.06</v>
      </c>
      <c r="G305" s="167">
        <v>5.8599999999999999E-2</v>
      </c>
      <c r="H305" s="167">
        <v>6.1899999999999997E-2</v>
      </c>
      <c r="I305" s="165">
        <v>5.8628600000000003E-2</v>
      </c>
      <c r="J305" s="159">
        <v>5.8999999999999997E-2</v>
      </c>
      <c r="K305" s="196">
        <v>1625000</v>
      </c>
      <c r="L305" s="196">
        <v>100000</v>
      </c>
      <c r="M305" s="172">
        <f t="shared" si="42"/>
        <v>16.25</v>
      </c>
    </row>
    <row r="306" spans="1:13" ht="12.75" customHeight="1" outlineLevel="1" x14ac:dyDescent="0.2">
      <c r="A306" s="156"/>
      <c r="B306" s="156"/>
      <c r="C306" s="156"/>
      <c r="D306" s="176" t="s">
        <v>150</v>
      </c>
      <c r="E306" s="158">
        <v>49749</v>
      </c>
      <c r="F306" s="167">
        <v>6.8750000000000006E-2</v>
      </c>
      <c r="G306" s="167">
        <v>6.4699999999999994E-2</v>
      </c>
      <c r="H306" s="167">
        <v>6.5500000000000003E-2</v>
      </c>
      <c r="I306" s="198">
        <v>6.4796400000000004E-2</v>
      </c>
      <c r="J306" s="197">
        <v>6.4799999999999996E-2</v>
      </c>
      <c r="K306" s="196">
        <v>1790000</v>
      </c>
      <c r="L306" s="195">
        <v>200000</v>
      </c>
      <c r="M306" s="172">
        <f t="shared" si="42"/>
        <v>8.9499999999999993</v>
      </c>
    </row>
    <row r="307" spans="1:13" ht="12.75" customHeight="1" outlineLevel="1" x14ac:dyDescent="0.2">
      <c r="A307" s="156"/>
      <c r="B307" s="156"/>
      <c r="C307" s="156"/>
      <c r="D307" s="176" t="s">
        <v>147</v>
      </c>
      <c r="E307" s="158">
        <v>54589</v>
      </c>
      <c r="F307" s="167">
        <v>6.5000000000000002E-2</v>
      </c>
      <c r="G307" s="167">
        <v>6.5000000000000002E-2</v>
      </c>
      <c r="H307" s="167">
        <v>6.7000000000000004E-2</v>
      </c>
      <c r="I307" s="165">
        <v>6.5563800000000005E-2</v>
      </c>
      <c r="J307" s="159">
        <v>6.5799999999999997E-2</v>
      </c>
      <c r="K307" s="196">
        <v>1461000</v>
      </c>
      <c r="L307" s="196">
        <v>300000</v>
      </c>
      <c r="M307" s="172">
        <f t="shared" si="42"/>
        <v>4.87</v>
      </c>
    </row>
    <row r="308" spans="1:13" ht="12.75" customHeight="1" outlineLevel="1" x14ac:dyDescent="0.2">
      <c r="A308" s="251"/>
      <c r="B308" s="156"/>
      <c r="C308" s="252"/>
      <c r="D308" s="176" t="s">
        <v>148</v>
      </c>
      <c r="E308" s="158">
        <v>53858</v>
      </c>
      <c r="F308" s="167">
        <v>6.7500000000000004E-2</v>
      </c>
      <c r="G308" s="167">
        <v>6.7500000000000004E-2</v>
      </c>
      <c r="H308" s="167">
        <v>6.8000000000000005E-2</v>
      </c>
      <c r="I308" s="165">
        <v>6.6500000000000004E-2</v>
      </c>
      <c r="J308" s="198">
        <v>6.6500000000000004E-2</v>
      </c>
      <c r="K308" s="196">
        <v>589000</v>
      </c>
      <c r="L308" s="196">
        <v>100000</v>
      </c>
      <c r="M308" s="172">
        <f t="shared" si="42"/>
        <v>5.89</v>
      </c>
    </row>
    <row r="309" spans="1:13" s="1" customFormat="1" ht="12.75" customHeight="1" outlineLevel="1" x14ac:dyDescent="0.2">
      <c r="A309" s="417" t="s">
        <v>121</v>
      </c>
      <c r="B309" s="432"/>
      <c r="C309" s="418"/>
      <c r="D309" s="418"/>
      <c r="E309" s="418"/>
      <c r="F309" s="418"/>
      <c r="G309" s="418"/>
      <c r="H309" s="418"/>
      <c r="I309" s="418"/>
      <c r="J309" s="419"/>
      <c r="K309" s="200">
        <f>SUM(K303:K308)</f>
        <v>20177000</v>
      </c>
      <c r="L309" s="200">
        <f>SUM(L303:L308)</f>
        <v>6000000</v>
      </c>
      <c r="M309" s="357"/>
    </row>
    <row r="310" spans="1:13" ht="12" customHeight="1" outlineLevel="1" x14ac:dyDescent="0.2">
      <c r="A310" s="326">
        <v>45160</v>
      </c>
      <c r="B310" s="309">
        <v>45162</v>
      </c>
      <c r="C310" s="327" t="s">
        <v>136</v>
      </c>
      <c r="D310" s="283" t="s">
        <v>211</v>
      </c>
      <c r="E310" s="284">
        <v>45252</v>
      </c>
      <c r="F310" s="285" t="s">
        <v>128</v>
      </c>
      <c r="G310" s="341">
        <v>0</v>
      </c>
      <c r="H310" s="341">
        <v>0</v>
      </c>
      <c r="I310" s="316">
        <v>0</v>
      </c>
      <c r="J310" s="316">
        <v>0</v>
      </c>
      <c r="K310" s="347">
        <v>0</v>
      </c>
      <c r="L310" s="349">
        <v>0</v>
      </c>
      <c r="M310" s="352" t="s">
        <v>130</v>
      </c>
    </row>
    <row r="311" spans="1:13" ht="12" customHeight="1" outlineLevel="1" x14ac:dyDescent="0.2">
      <c r="A311" s="326"/>
      <c r="B311" s="281"/>
      <c r="C311" s="327"/>
      <c r="D311" s="283" t="s">
        <v>212</v>
      </c>
      <c r="E311" s="284">
        <v>45526</v>
      </c>
      <c r="F311" s="285" t="s">
        <v>128</v>
      </c>
      <c r="G311" s="285">
        <v>5.3600000000000002E-2</v>
      </c>
      <c r="H311" s="285">
        <v>5.7500000000000002E-2</v>
      </c>
      <c r="I311" s="341">
        <v>5.4717399999999999E-2</v>
      </c>
      <c r="J311" s="346">
        <v>5.5899999999999998E-2</v>
      </c>
      <c r="K311" s="347">
        <v>975000</v>
      </c>
      <c r="L311" s="350">
        <v>700000</v>
      </c>
      <c r="M311" s="290">
        <f>IF(L311=0,0,K311/L311)</f>
        <v>1.3928571428571428</v>
      </c>
    </row>
    <row r="312" spans="1:13" ht="12.75" customHeight="1" outlineLevel="1" x14ac:dyDescent="0.2">
      <c r="A312" s="326"/>
      <c r="B312" s="284"/>
      <c r="C312" s="327"/>
      <c r="D312" s="283" t="s">
        <v>139</v>
      </c>
      <c r="E312" s="284">
        <v>46980</v>
      </c>
      <c r="F312" s="285">
        <v>6.3750000000000001E-2</v>
      </c>
      <c r="G312" s="285">
        <v>6.2399999999999997E-2</v>
      </c>
      <c r="H312" s="285">
        <v>6.6000000000000003E-2</v>
      </c>
      <c r="I312" s="286">
        <v>6.2399999999999997E-2</v>
      </c>
      <c r="J312" s="321">
        <v>6.2399999999999997E-2</v>
      </c>
      <c r="K312" s="347">
        <v>4020000</v>
      </c>
      <c r="L312" s="351">
        <v>50000</v>
      </c>
      <c r="M312" s="290">
        <f t="shared" ref="M312:M316" si="43">IF(L312=0,0,K312/L312)</f>
        <v>80.400000000000006</v>
      </c>
    </row>
    <row r="313" spans="1:13" ht="12.75" customHeight="1" outlineLevel="1" x14ac:dyDescent="0.2">
      <c r="A313" s="305"/>
      <c r="B313" s="291"/>
      <c r="C313" s="306"/>
      <c r="D313" s="283" t="s">
        <v>213</v>
      </c>
      <c r="E313" s="284">
        <v>48990</v>
      </c>
      <c r="F313" s="285">
        <v>6.6250000000000003E-2</v>
      </c>
      <c r="G313" s="285">
        <v>6.5500000000000003E-2</v>
      </c>
      <c r="H313" s="285">
        <v>6.9000000000000006E-2</v>
      </c>
      <c r="I313" s="324">
        <v>6.6898799999999994E-2</v>
      </c>
      <c r="J313" s="325">
        <v>6.7199999999999996E-2</v>
      </c>
      <c r="K313" s="347">
        <v>19532100</v>
      </c>
      <c r="L313" s="350">
        <v>6850000</v>
      </c>
      <c r="M313" s="290">
        <f t="shared" si="43"/>
        <v>2.8514014598540145</v>
      </c>
    </row>
    <row r="314" spans="1:13" ht="12.75" customHeight="1" outlineLevel="1" x14ac:dyDescent="0.2">
      <c r="A314" s="305"/>
      <c r="B314" s="291"/>
      <c r="C314" s="306"/>
      <c r="D314" s="283" t="s">
        <v>142</v>
      </c>
      <c r="E314" s="284">
        <v>50571</v>
      </c>
      <c r="F314" s="285">
        <v>7.1249999999999994E-2</v>
      </c>
      <c r="G314" s="285">
        <v>6.7500000000000004E-2</v>
      </c>
      <c r="H314" s="285">
        <v>7.0000000000000007E-2</v>
      </c>
      <c r="I314" s="286">
        <v>6.8071400000000004E-2</v>
      </c>
      <c r="J314" s="321">
        <v>6.83E-2</v>
      </c>
      <c r="K314" s="347">
        <v>5953600</v>
      </c>
      <c r="L314" s="351">
        <v>250000</v>
      </c>
      <c r="M314" s="290">
        <f>IF(L314=0,0,K314/L314)</f>
        <v>23.814399999999999</v>
      </c>
    </row>
    <row r="315" spans="1:13" ht="12.75" customHeight="1" outlineLevel="1" x14ac:dyDescent="0.2">
      <c r="A315" s="305"/>
      <c r="B315" s="291"/>
      <c r="C315" s="306"/>
      <c r="D315" s="283" t="s">
        <v>141</v>
      </c>
      <c r="E315" s="284">
        <v>52397</v>
      </c>
      <c r="F315" s="285">
        <v>7.1249999999999994E-2</v>
      </c>
      <c r="G315" s="285">
        <v>6.8500000000000005E-2</v>
      </c>
      <c r="H315" s="285">
        <v>7.0000000000000007E-2</v>
      </c>
      <c r="I315" s="286">
        <v>0</v>
      </c>
      <c r="J315" s="324">
        <v>0</v>
      </c>
      <c r="K315" s="348">
        <v>1889000</v>
      </c>
      <c r="L315" s="351">
        <v>0</v>
      </c>
      <c r="M315" s="290">
        <f t="shared" si="43"/>
        <v>0</v>
      </c>
    </row>
    <row r="316" spans="1:13" ht="12.75" customHeight="1" outlineLevel="1" x14ac:dyDescent="0.2">
      <c r="A316" s="305"/>
      <c r="B316" s="328"/>
      <c r="C316" s="306"/>
      <c r="D316" s="283" t="s">
        <v>137</v>
      </c>
      <c r="E316" s="284">
        <v>55380</v>
      </c>
      <c r="F316" s="285">
        <v>6.8750000000000006E-2</v>
      </c>
      <c r="G316" s="285">
        <v>6.7900000000000002E-2</v>
      </c>
      <c r="H316" s="285">
        <v>7.0499999999999993E-2</v>
      </c>
      <c r="I316" s="325">
        <v>6.8124299999999999E-2</v>
      </c>
      <c r="J316" s="324">
        <v>6.8500000000000005E-2</v>
      </c>
      <c r="K316" s="348">
        <v>2231600</v>
      </c>
      <c r="L316" s="350">
        <v>20000</v>
      </c>
      <c r="M316" s="332">
        <f t="shared" si="43"/>
        <v>111.58</v>
      </c>
    </row>
    <row r="317" spans="1:13" s="1" customFormat="1" ht="12.75" customHeight="1" outlineLevel="1" x14ac:dyDescent="0.2">
      <c r="A317" s="398" t="s">
        <v>121</v>
      </c>
      <c r="B317" s="399"/>
      <c r="C317" s="400"/>
      <c r="D317" s="400"/>
      <c r="E317" s="400"/>
      <c r="F317" s="400"/>
      <c r="G317" s="400"/>
      <c r="H317" s="400"/>
      <c r="I317" s="400"/>
      <c r="J317" s="401"/>
      <c r="K317" s="294">
        <f>SUM(K310:K316)</f>
        <v>34601300</v>
      </c>
      <c r="L317" s="294">
        <f>SUM(L310:L316)</f>
        <v>7870000</v>
      </c>
      <c r="M317" s="308"/>
    </row>
    <row r="318" spans="1:13" ht="12.75" customHeight="1" outlineLevel="1" x14ac:dyDescent="0.2">
      <c r="A318" s="164">
        <v>45162</v>
      </c>
      <c r="B318" s="158">
        <v>45167</v>
      </c>
      <c r="C318" s="181" t="s">
        <v>138</v>
      </c>
      <c r="D318" s="201" t="s">
        <v>175</v>
      </c>
      <c r="E318" s="158">
        <v>51940</v>
      </c>
      <c r="F318" s="167">
        <v>6.7500000000000004E-2</v>
      </c>
      <c r="G318" s="167"/>
      <c r="H318" s="167"/>
      <c r="I318" s="165"/>
      <c r="J318" s="165"/>
      <c r="K318" s="202">
        <v>321138</v>
      </c>
      <c r="L318" s="202">
        <v>321138</v>
      </c>
      <c r="M318" s="174">
        <f t="shared" ref="M318" si="44">IF(L318=0,0,K318/L318)</f>
        <v>1</v>
      </c>
    </row>
    <row r="319" spans="1:13" ht="12.75" customHeight="1" outlineLevel="1" x14ac:dyDescent="0.2">
      <c r="A319" s="420" t="s">
        <v>121</v>
      </c>
      <c r="B319" s="421"/>
      <c r="C319" s="421"/>
      <c r="D319" s="421"/>
      <c r="E319" s="421"/>
      <c r="F319" s="421"/>
      <c r="G319" s="421"/>
      <c r="H319" s="421"/>
      <c r="I319" s="421"/>
      <c r="J319" s="422"/>
      <c r="K319" s="178">
        <f>SUM(K318)</f>
        <v>321138</v>
      </c>
      <c r="L319" s="178">
        <f>SUM(L318)</f>
        <v>321138</v>
      </c>
      <c r="M319" s="203"/>
    </row>
    <row r="320" spans="1:13" ht="12" customHeight="1" outlineLevel="1" x14ac:dyDescent="0.2">
      <c r="A320" s="164">
        <v>45167</v>
      </c>
      <c r="B320" s="164">
        <v>45169</v>
      </c>
      <c r="C320" s="160" t="s">
        <v>136</v>
      </c>
      <c r="D320" s="176" t="s">
        <v>210</v>
      </c>
      <c r="E320" s="158">
        <v>45336</v>
      </c>
      <c r="F320" s="167" t="s">
        <v>128</v>
      </c>
      <c r="G320" s="167">
        <v>4.87E-2</v>
      </c>
      <c r="H320" s="167">
        <v>4.87E-2</v>
      </c>
      <c r="I320" s="218">
        <v>4.87E-2</v>
      </c>
      <c r="J320" s="218">
        <v>4.87E-2</v>
      </c>
      <c r="K320" s="196">
        <v>2050000</v>
      </c>
      <c r="L320" s="219">
        <v>100000</v>
      </c>
      <c r="M320" s="172">
        <f>IF(L321=0,0,K320/L320)</f>
        <v>20.5</v>
      </c>
    </row>
    <row r="321" spans="1:13" ht="12" customHeight="1" outlineLevel="1" x14ac:dyDescent="0.2">
      <c r="A321" s="164"/>
      <c r="B321" s="164"/>
      <c r="C321" s="160"/>
      <c r="D321" s="176" t="s">
        <v>146</v>
      </c>
      <c r="E321" s="158">
        <v>45884</v>
      </c>
      <c r="F321" s="167">
        <v>5.3749999999999999E-2</v>
      </c>
      <c r="G321" s="167">
        <v>6.1699999999999998E-2</v>
      </c>
      <c r="H321" s="167">
        <v>6.5000000000000002E-2</v>
      </c>
      <c r="I321" s="218">
        <v>6.17983E-2</v>
      </c>
      <c r="J321" s="250">
        <v>6.1800000000000001E-2</v>
      </c>
      <c r="K321" s="196">
        <v>13407000</v>
      </c>
      <c r="L321" s="219">
        <v>4300000</v>
      </c>
      <c r="M321" s="172">
        <f t="shared" ref="M321:M325" si="45">IF(L322=0,0,K321/L321)</f>
        <v>3.117906976744186</v>
      </c>
    </row>
    <row r="322" spans="1:13" ht="12.75" customHeight="1" outlineLevel="1" x14ac:dyDescent="0.2">
      <c r="A322" s="164"/>
      <c r="B322" s="158"/>
      <c r="C322" s="160"/>
      <c r="D322" s="176" t="s">
        <v>50</v>
      </c>
      <c r="E322" s="158">
        <v>46402</v>
      </c>
      <c r="F322" s="167">
        <v>0.06</v>
      </c>
      <c r="G322" s="167">
        <v>0.06</v>
      </c>
      <c r="H322" s="167">
        <v>6.3899999999999998E-2</v>
      </c>
      <c r="I322" s="165">
        <v>6.0689300000000002E-2</v>
      </c>
      <c r="J322" s="159">
        <v>6.1100000000000002E-2</v>
      </c>
      <c r="K322" s="196">
        <v>1712500</v>
      </c>
      <c r="L322" s="219">
        <v>60000</v>
      </c>
      <c r="M322" s="172">
        <f t="shared" si="45"/>
        <v>28.541666666666668</v>
      </c>
    </row>
    <row r="323" spans="1:13" ht="12.75" customHeight="1" outlineLevel="1" x14ac:dyDescent="0.2">
      <c r="A323" s="156"/>
      <c r="B323" s="156"/>
      <c r="C323" s="156"/>
      <c r="D323" s="2" t="s">
        <v>153</v>
      </c>
      <c r="E323" s="158">
        <v>47376</v>
      </c>
      <c r="F323" s="204">
        <v>6.6250000000000003E-2</v>
      </c>
      <c r="G323" s="167">
        <v>6.1199999999999997E-2</v>
      </c>
      <c r="H323" s="167">
        <v>6.3799999999999996E-2</v>
      </c>
      <c r="I323" s="198">
        <v>6.1906599999999999E-2</v>
      </c>
      <c r="J323" s="197">
        <v>6.2700000000000006E-2</v>
      </c>
      <c r="K323" s="196">
        <v>2226000</v>
      </c>
      <c r="L323" s="196">
        <v>800000</v>
      </c>
      <c r="M323" s="172">
        <f t="shared" si="45"/>
        <v>2.7825000000000002</v>
      </c>
    </row>
    <row r="324" spans="1:13" ht="12.75" customHeight="1" outlineLevel="1" x14ac:dyDescent="0.2">
      <c r="A324" s="156"/>
      <c r="B324" s="156"/>
      <c r="C324" s="156"/>
      <c r="D324" s="176" t="s">
        <v>147</v>
      </c>
      <c r="E324" s="158">
        <v>54589</v>
      </c>
      <c r="F324" s="167">
        <v>6.5000000000000002E-2</v>
      </c>
      <c r="G324" s="167">
        <v>6.5799999999999997E-2</v>
      </c>
      <c r="H324" s="167">
        <v>6.6900000000000001E-2</v>
      </c>
      <c r="I324" s="165">
        <v>6.5984799999999996E-2</v>
      </c>
      <c r="J324" s="159">
        <v>6.6000000000000003E-2</v>
      </c>
      <c r="K324" s="196">
        <v>1357000</v>
      </c>
      <c r="L324" s="196">
        <v>300000</v>
      </c>
      <c r="M324" s="172">
        <f t="shared" si="45"/>
        <v>4.5233333333333334</v>
      </c>
    </row>
    <row r="325" spans="1:13" ht="12.75" customHeight="1" outlineLevel="1" x14ac:dyDescent="0.2">
      <c r="A325" s="251"/>
      <c r="B325" s="156"/>
      <c r="C325" s="252"/>
      <c r="D325" s="176" t="s">
        <v>148</v>
      </c>
      <c r="E325" s="158">
        <v>53858</v>
      </c>
      <c r="F325" s="167">
        <v>6.7500000000000004E-2</v>
      </c>
      <c r="G325" s="167">
        <v>6.7400000000000002E-2</v>
      </c>
      <c r="H325" s="167">
        <v>6.83E-2</v>
      </c>
      <c r="I325" s="165">
        <v>6.7698700000000001E-2</v>
      </c>
      <c r="J325" s="198">
        <v>6.7900000000000002E-2</v>
      </c>
      <c r="K325" s="196">
        <v>533000</v>
      </c>
      <c r="L325" s="196">
        <v>440000</v>
      </c>
      <c r="M325" s="172">
        <f t="shared" si="45"/>
        <v>1.2113636363636364</v>
      </c>
    </row>
    <row r="326" spans="1:13" s="1" customFormat="1" ht="12.75" customHeight="1" outlineLevel="1" x14ac:dyDescent="0.2">
      <c r="A326" s="417" t="s">
        <v>121</v>
      </c>
      <c r="B326" s="418"/>
      <c r="C326" s="418"/>
      <c r="D326" s="418"/>
      <c r="E326" s="418"/>
      <c r="F326" s="418"/>
      <c r="G326" s="418"/>
      <c r="H326" s="418"/>
      <c r="I326" s="418"/>
      <c r="J326" s="419"/>
      <c r="K326" s="200">
        <f>SUM(K320:K325)</f>
        <v>21285500</v>
      </c>
      <c r="L326" s="200">
        <f>SUM(L320:L325)</f>
        <v>6000000</v>
      </c>
      <c r="M326" s="166"/>
    </row>
    <row r="327" spans="1:13" ht="12.75" customHeight="1" x14ac:dyDescent="0.2">
      <c r="A327" s="402" t="s">
        <v>215</v>
      </c>
      <c r="B327" s="403"/>
      <c r="C327" s="403"/>
      <c r="D327" s="403"/>
      <c r="E327" s="403"/>
      <c r="F327" s="403"/>
      <c r="G327" s="403"/>
      <c r="H327" s="403"/>
      <c r="I327" s="403"/>
      <c r="J327" s="404"/>
      <c r="K327" s="177">
        <f>K291+K300+K302+K309+K317+K319+K326</f>
        <v>134472838</v>
      </c>
      <c r="L327" s="177">
        <f>L291+L300+L302+L309+L317+L319+L326</f>
        <v>39541138</v>
      </c>
      <c r="M327" s="166"/>
    </row>
    <row r="328" spans="1:13" ht="12.75" customHeight="1" x14ac:dyDescent="0.2">
      <c r="A328" s="402" t="s">
        <v>216</v>
      </c>
      <c r="B328" s="403"/>
      <c r="C328" s="403"/>
      <c r="D328" s="403"/>
      <c r="E328" s="403"/>
      <c r="F328" s="403"/>
      <c r="G328" s="403"/>
      <c r="H328" s="403"/>
      <c r="I328" s="403"/>
      <c r="J328" s="404"/>
      <c r="K328" s="177">
        <f>SUM(K284+K327)</f>
        <v>1416978531.7520001</v>
      </c>
      <c r="L328" s="177">
        <f>SUM(L284+L327)</f>
        <v>569198431.75199997</v>
      </c>
      <c r="M328" s="166"/>
    </row>
    <row r="329" spans="1:13" ht="12.75" customHeight="1" outlineLevel="1" x14ac:dyDescent="0.2">
      <c r="A329" s="164">
        <v>45173</v>
      </c>
      <c r="B329" s="164">
        <v>45175</v>
      </c>
      <c r="C329" s="160" t="s">
        <v>224</v>
      </c>
      <c r="D329" s="176" t="s">
        <v>227</v>
      </c>
      <c r="E329" s="158">
        <v>45910</v>
      </c>
      <c r="F329" s="167">
        <v>5.8500000000000003E-2</v>
      </c>
      <c r="G329" s="167"/>
      <c r="H329" s="167"/>
      <c r="I329" s="165"/>
      <c r="J329" s="198"/>
      <c r="K329" s="253">
        <v>112563</v>
      </c>
      <c r="L329" s="253">
        <v>112563</v>
      </c>
      <c r="M329" s="174">
        <f t="shared" ref="M329" si="46">IF(L329=0,0,K329/L329)</f>
        <v>1</v>
      </c>
    </row>
    <row r="330" spans="1:13" s="1" customFormat="1" ht="12.75" customHeight="1" outlineLevel="1" x14ac:dyDescent="0.2">
      <c r="A330" s="409" t="s">
        <v>121</v>
      </c>
      <c r="B330" s="415"/>
      <c r="C330" s="410"/>
      <c r="D330" s="410"/>
      <c r="E330" s="410"/>
      <c r="F330" s="410"/>
      <c r="G330" s="410"/>
      <c r="H330" s="410"/>
      <c r="I330" s="410"/>
      <c r="J330" s="411"/>
      <c r="K330" s="220">
        <f>K329</f>
        <v>112563</v>
      </c>
      <c r="L330" s="220">
        <f>L329</f>
        <v>112563</v>
      </c>
      <c r="M330" s="270"/>
    </row>
    <row r="331" spans="1:13" ht="12" customHeight="1" outlineLevel="1" x14ac:dyDescent="0.2">
      <c r="A331" s="326">
        <v>45174</v>
      </c>
      <c r="B331" s="309">
        <v>45176</v>
      </c>
      <c r="C331" s="327" t="s">
        <v>136</v>
      </c>
      <c r="D331" s="283" t="s">
        <v>218</v>
      </c>
      <c r="E331" s="284">
        <v>45267</v>
      </c>
      <c r="F331" s="285" t="s">
        <v>128</v>
      </c>
      <c r="G331" s="341">
        <v>0</v>
      </c>
      <c r="H331" s="341">
        <v>0</v>
      </c>
      <c r="I331" s="316">
        <v>0</v>
      </c>
      <c r="J331" s="316">
        <v>0</v>
      </c>
      <c r="K331" s="347">
        <v>0</v>
      </c>
      <c r="L331" s="349">
        <v>0</v>
      </c>
      <c r="M331" s="352" t="s">
        <v>130</v>
      </c>
    </row>
    <row r="332" spans="1:13" ht="12" customHeight="1" outlineLevel="1" x14ac:dyDescent="0.2">
      <c r="A332" s="326"/>
      <c r="B332" s="281"/>
      <c r="C332" s="327"/>
      <c r="D332" s="283" t="s">
        <v>209</v>
      </c>
      <c r="E332" s="284">
        <v>45441</v>
      </c>
      <c r="F332" s="285" t="s">
        <v>128</v>
      </c>
      <c r="G332" s="285">
        <v>5.7500000000000002E-2</v>
      </c>
      <c r="H332" s="285">
        <v>5.7500000000000002E-2</v>
      </c>
      <c r="I332" s="341">
        <v>0</v>
      </c>
      <c r="J332" s="346">
        <v>0</v>
      </c>
      <c r="K332" s="347">
        <v>20000</v>
      </c>
      <c r="L332" s="350">
        <v>0</v>
      </c>
      <c r="M332" s="290">
        <f t="shared" ref="M332" si="47">IF(L332=0,0,K331/L332)</f>
        <v>0</v>
      </c>
    </row>
    <row r="333" spans="1:13" ht="12.75" customHeight="1" outlineLevel="1" x14ac:dyDescent="0.2">
      <c r="A333" s="326"/>
      <c r="B333" s="284"/>
      <c r="C333" s="327"/>
      <c r="D333" s="283" t="s">
        <v>139</v>
      </c>
      <c r="E333" s="284">
        <v>46980</v>
      </c>
      <c r="F333" s="285">
        <v>6.3750000000000001E-2</v>
      </c>
      <c r="G333" s="285">
        <v>6.0699999999999997E-2</v>
      </c>
      <c r="H333" s="285">
        <v>6.2300000000000001E-2</v>
      </c>
      <c r="I333" s="286">
        <v>6.0966699999999999E-2</v>
      </c>
      <c r="J333" s="321">
        <v>6.0999999999999999E-2</v>
      </c>
      <c r="K333" s="347">
        <v>2986400</v>
      </c>
      <c r="L333" s="351">
        <v>750000</v>
      </c>
      <c r="M333" s="290">
        <f>IF(L333=0,0,K333/L333)</f>
        <v>3.9818666666666669</v>
      </c>
    </row>
    <row r="334" spans="1:13" ht="12.75" customHeight="1" outlineLevel="1" x14ac:dyDescent="0.2">
      <c r="A334" s="305"/>
      <c r="B334" s="291"/>
      <c r="C334" s="306"/>
      <c r="D334" s="283" t="s">
        <v>213</v>
      </c>
      <c r="E334" s="284">
        <v>48990</v>
      </c>
      <c r="F334" s="285">
        <v>6.6250000000000003E-2</v>
      </c>
      <c r="G334" s="285">
        <v>6.3500000000000001E-2</v>
      </c>
      <c r="H334" s="285">
        <v>6.5100000000000005E-2</v>
      </c>
      <c r="I334" s="324">
        <v>6.4099000000000003E-2</v>
      </c>
      <c r="J334" s="325">
        <v>6.4500000000000002E-2</v>
      </c>
      <c r="K334" s="347">
        <v>9024500</v>
      </c>
      <c r="L334" s="350">
        <v>5800000</v>
      </c>
      <c r="M334" s="290">
        <f>IF(L334=0,0,K334/L334)</f>
        <v>1.5559482758620691</v>
      </c>
    </row>
    <row r="335" spans="1:13" ht="12.75" customHeight="1" outlineLevel="1" x14ac:dyDescent="0.2">
      <c r="A335" s="305"/>
      <c r="B335" s="291"/>
      <c r="C335" s="306"/>
      <c r="D335" s="283" t="s">
        <v>142</v>
      </c>
      <c r="E335" s="284">
        <v>50571</v>
      </c>
      <c r="F335" s="285">
        <v>7.1249999999999994E-2</v>
      </c>
      <c r="G335" s="285">
        <v>6.4500000000000002E-2</v>
      </c>
      <c r="H335" s="285">
        <v>7.0000000000000007E-2</v>
      </c>
      <c r="I335" s="286">
        <v>6.4781900000000003E-2</v>
      </c>
      <c r="J335" s="321">
        <v>6.5000000000000002E-2</v>
      </c>
      <c r="K335" s="347">
        <v>2503000</v>
      </c>
      <c r="L335" s="351">
        <v>1750000</v>
      </c>
      <c r="M335" s="290">
        <f>IF(L335=0,0,K335/L335)</f>
        <v>1.4302857142857144</v>
      </c>
    </row>
    <row r="336" spans="1:13" ht="12.75" customHeight="1" outlineLevel="1" x14ac:dyDescent="0.2">
      <c r="A336" s="305"/>
      <c r="B336" s="291"/>
      <c r="C336" s="306"/>
      <c r="D336" s="283" t="s">
        <v>141</v>
      </c>
      <c r="E336" s="284">
        <v>52397</v>
      </c>
      <c r="F336" s="285">
        <v>7.1249999999999994E-2</v>
      </c>
      <c r="G336" s="285">
        <v>6.59E-2</v>
      </c>
      <c r="H336" s="285">
        <v>6.7000000000000004E-2</v>
      </c>
      <c r="I336" s="286">
        <v>6.6176299999999993E-2</v>
      </c>
      <c r="J336" s="324">
        <v>6.6600000000000006E-2</v>
      </c>
      <c r="K336" s="348">
        <v>2276500</v>
      </c>
      <c r="L336" s="351">
        <v>1850000</v>
      </c>
      <c r="M336" s="290">
        <f>IF(L336=0,0,K336/L336)</f>
        <v>1.2305405405405405</v>
      </c>
    </row>
    <row r="337" spans="1:13" ht="12.75" customHeight="1" outlineLevel="1" x14ac:dyDescent="0.2">
      <c r="A337" s="305"/>
      <c r="B337" s="328"/>
      <c r="C337" s="306"/>
      <c r="D337" s="283" t="s">
        <v>137</v>
      </c>
      <c r="E337" s="284">
        <v>55380</v>
      </c>
      <c r="F337" s="285">
        <v>6.8750000000000006E-2</v>
      </c>
      <c r="G337" s="285">
        <v>6.7000000000000004E-2</v>
      </c>
      <c r="H337" s="285">
        <v>6.8900000000000003E-2</v>
      </c>
      <c r="I337" s="325">
        <v>6.7096600000000006E-2</v>
      </c>
      <c r="J337" s="324">
        <v>6.7699999999999996E-2</v>
      </c>
      <c r="K337" s="348">
        <v>3207000</v>
      </c>
      <c r="L337" s="350">
        <v>3050000</v>
      </c>
      <c r="M337" s="332">
        <f>IF(L337=0,0,K337/L337)</f>
        <v>1.0514754098360655</v>
      </c>
    </row>
    <row r="338" spans="1:13" s="1" customFormat="1" ht="12.75" customHeight="1" outlineLevel="1" x14ac:dyDescent="0.2">
      <c r="A338" s="398" t="s">
        <v>121</v>
      </c>
      <c r="B338" s="399"/>
      <c r="C338" s="400"/>
      <c r="D338" s="400"/>
      <c r="E338" s="400"/>
      <c r="F338" s="400"/>
      <c r="G338" s="400"/>
      <c r="H338" s="400"/>
      <c r="I338" s="400"/>
      <c r="J338" s="401"/>
      <c r="K338" s="294">
        <f>SUM(K331:K337)</f>
        <v>20017400</v>
      </c>
      <c r="L338" s="294">
        <f>SUM(L331:L337)</f>
        <v>13200000</v>
      </c>
      <c r="M338" s="308"/>
    </row>
    <row r="339" spans="1:13" ht="12" customHeight="1" outlineLevel="1" x14ac:dyDescent="0.2">
      <c r="A339" s="164">
        <v>45181</v>
      </c>
      <c r="B339" s="164">
        <v>45183</v>
      </c>
      <c r="C339" s="160" t="s">
        <v>136</v>
      </c>
      <c r="D339" s="176" t="s">
        <v>219</v>
      </c>
      <c r="E339" s="158">
        <v>45363</v>
      </c>
      <c r="F339" s="167" t="s">
        <v>128</v>
      </c>
      <c r="G339" s="167">
        <v>0</v>
      </c>
      <c r="H339" s="167">
        <v>0</v>
      </c>
      <c r="I339" s="218" t="s">
        <v>130</v>
      </c>
      <c r="J339" s="218" t="s">
        <v>130</v>
      </c>
      <c r="K339" s="196">
        <v>2000000</v>
      </c>
      <c r="L339" s="196" t="s">
        <v>130</v>
      </c>
      <c r="M339" s="249" t="s">
        <v>130</v>
      </c>
    </row>
    <row r="340" spans="1:13" ht="12" customHeight="1" outlineLevel="1" x14ac:dyDescent="0.2">
      <c r="A340" s="164"/>
      <c r="B340" s="164"/>
      <c r="C340" s="160"/>
      <c r="D340" s="176" t="s">
        <v>146</v>
      </c>
      <c r="E340" s="158">
        <v>45884</v>
      </c>
      <c r="F340" s="167">
        <v>5.3749999999999999E-2</v>
      </c>
      <c r="G340" s="167">
        <v>6.2E-2</v>
      </c>
      <c r="H340" s="167">
        <v>6.5000000000000002E-2</v>
      </c>
      <c r="I340" s="218">
        <v>6.2104300000000001E-2</v>
      </c>
      <c r="J340" s="250">
        <v>6.2199999999999998E-2</v>
      </c>
      <c r="K340" s="196">
        <v>17275000</v>
      </c>
      <c r="L340" s="219">
        <v>200000</v>
      </c>
      <c r="M340" s="172">
        <f t="shared" ref="M340:M344" si="48">IF(L341=0,0,K340/L340)</f>
        <v>86.375</v>
      </c>
    </row>
    <row r="341" spans="1:13" ht="12.75" customHeight="1" outlineLevel="1" x14ac:dyDescent="0.2">
      <c r="A341" s="164"/>
      <c r="B341" s="158"/>
      <c r="C341" s="160"/>
      <c r="D341" s="176" t="s">
        <v>50</v>
      </c>
      <c r="E341" s="158">
        <v>46402</v>
      </c>
      <c r="F341" s="167">
        <v>0.06</v>
      </c>
      <c r="G341" s="167">
        <v>6.13E-2</v>
      </c>
      <c r="H341" s="167">
        <v>6.54E-2</v>
      </c>
      <c r="I341" s="198" t="s">
        <v>130</v>
      </c>
      <c r="J341" s="197" t="s">
        <v>130</v>
      </c>
      <c r="K341" s="196">
        <v>2261000</v>
      </c>
      <c r="L341" s="196" t="s">
        <v>130</v>
      </c>
      <c r="M341" s="249" t="s">
        <v>130</v>
      </c>
    </row>
    <row r="342" spans="1:13" ht="12.75" customHeight="1" outlineLevel="1" x14ac:dyDescent="0.2">
      <c r="A342" s="156"/>
      <c r="B342" s="156"/>
      <c r="C342" s="156"/>
      <c r="D342" s="176" t="s">
        <v>150</v>
      </c>
      <c r="E342" s="158">
        <v>49749</v>
      </c>
      <c r="F342" s="167">
        <v>6.8750000000000006E-2</v>
      </c>
      <c r="G342" s="167">
        <v>6.6100000000000006E-2</v>
      </c>
      <c r="H342" s="167">
        <v>6.7500000000000004E-2</v>
      </c>
      <c r="I342" s="198">
        <v>6.6288200000000005E-2</v>
      </c>
      <c r="J342" s="197">
        <v>6.6400000000000001E-2</v>
      </c>
      <c r="K342" s="196">
        <v>3002500</v>
      </c>
      <c r="L342" s="196">
        <v>2600000</v>
      </c>
      <c r="M342" s="172">
        <f t="shared" si="48"/>
        <v>1.1548076923076922</v>
      </c>
    </row>
    <row r="343" spans="1:13" ht="12.75" customHeight="1" outlineLevel="1" x14ac:dyDescent="0.2">
      <c r="A343" s="156"/>
      <c r="B343" s="156"/>
      <c r="C343" s="156"/>
      <c r="D343" s="176" t="s">
        <v>147</v>
      </c>
      <c r="E343" s="158">
        <v>54589</v>
      </c>
      <c r="F343" s="167">
        <v>6.5000000000000002E-2</v>
      </c>
      <c r="G343" s="167">
        <v>6.6500000000000004E-2</v>
      </c>
      <c r="H343" s="167">
        <v>6.7100000000000007E-2</v>
      </c>
      <c r="I343" s="165">
        <v>6.68541E-2</v>
      </c>
      <c r="J343" s="159">
        <v>6.7000000000000004E-2</v>
      </c>
      <c r="K343" s="196">
        <v>2280900</v>
      </c>
      <c r="L343" s="196">
        <v>2000000</v>
      </c>
      <c r="M343" s="172">
        <f t="shared" si="48"/>
        <v>1.14045</v>
      </c>
    </row>
    <row r="344" spans="1:13" ht="12.75" customHeight="1" outlineLevel="1" x14ac:dyDescent="0.2">
      <c r="A344" s="251"/>
      <c r="B344" s="156"/>
      <c r="C344" s="252"/>
      <c r="D344" s="176" t="s">
        <v>148</v>
      </c>
      <c r="E344" s="158">
        <v>53858</v>
      </c>
      <c r="F344" s="167">
        <v>6.7500000000000004E-2</v>
      </c>
      <c r="G344" s="167">
        <v>6.7000000000000004E-2</v>
      </c>
      <c r="H344" s="167">
        <v>6.8500000000000005E-2</v>
      </c>
      <c r="I344" s="165">
        <v>6.7480799999999994E-2</v>
      </c>
      <c r="J344" s="198">
        <v>6.8000000000000005E-2</v>
      </c>
      <c r="K344" s="196">
        <v>4513400</v>
      </c>
      <c r="L344" s="196">
        <v>4200000</v>
      </c>
      <c r="M344" s="172">
        <f t="shared" si="48"/>
        <v>1.0746190476190476</v>
      </c>
    </row>
    <row r="345" spans="1:13" s="1" customFormat="1" ht="12.75" customHeight="1" outlineLevel="1" x14ac:dyDescent="0.2">
      <c r="A345" s="417" t="s">
        <v>121</v>
      </c>
      <c r="B345" s="432"/>
      <c r="C345" s="418"/>
      <c r="D345" s="418"/>
      <c r="E345" s="418"/>
      <c r="F345" s="418"/>
      <c r="G345" s="418"/>
      <c r="H345" s="418"/>
      <c r="I345" s="418"/>
      <c r="J345" s="419"/>
      <c r="K345" s="200">
        <f>SUM(K339:K344)</f>
        <v>31332800</v>
      </c>
      <c r="L345" s="200">
        <f>SUM(L339:L344)</f>
        <v>9000000</v>
      </c>
      <c r="M345" s="357"/>
    </row>
    <row r="346" spans="1:13" ht="12" customHeight="1" outlineLevel="1" x14ac:dyDescent="0.2">
      <c r="A346" s="326">
        <v>45188</v>
      </c>
      <c r="B346" s="309">
        <v>45190</v>
      </c>
      <c r="C346" s="327" t="s">
        <v>136</v>
      </c>
      <c r="D346" s="283" t="s">
        <v>220</v>
      </c>
      <c r="E346" s="284">
        <v>45280</v>
      </c>
      <c r="F346" s="285" t="s">
        <v>128</v>
      </c>
      <c r="G346" s="341">
        <v>5.0999999999999997E-2</v>
      </c>
      <c r="H346" s="341">
        <v>6.2199999999999998E-2</v>
      </c>
      <c r="I346" s="316">
        <v>0</v>
      </c>
      <c r="J346" s="316">
        <v>0</v>
      </c>
      <c r="K346" s="347">
        <v>430000</v>
      </c>
      <c r="L346" s="349">
        <v>0</v>
      </c>
      <c r="M346" s="352" t="s">
        <v>130</v>
      </c>
    </row>
    <row r="347" spans="1:13" ht="12" customHeight="1" outlineLevel="1" x14ac:dyDescent="0.2">
      <c r="A347" s="326"/>
      <c r="B347" s="281"/>
      <c r="C347" s="327"/>
      <c r="D347" s="283" t="s">
        <v>221</v>
      </c>
      <c r="E347" s="284">
        <v>45554</v>
      </c>
      <c r="F347" s="285" t="s">
        <v>128</v>
      </c>
      <c r="G347" s="285">
        <v>6.3E-2</v>
      </c>
      <c r="H347" s="285">
        <v>6.4000000000000001E-2</v>
      </c>
      <c r="I347" s="341">
        <v>0</v>
      </c>
      <c r="J347" s="346">
        <v>0</v>
      </c>
      <c r="K347" s="347">
        <v>527000</v>
      </c>
      <c r="L347" s="350">
        <v>0</v>
      </c>
      <c r="M347" s="290">
        <f t="shared" ref="M347" si="49">IF(L347=0,0,K346/L347)</f>
        <v>0</v>
      </c>
    </row>
    <row r="348" spans="1:13" ht="12.75" customHeight="1" outlineLevel="1" x14ac:dyDescent="0.2">
      <c r="A348" s="326"/>
      <c r="B348" s="284"/>
      <c r="C348" s="327"/>
      <c r="D348" s="283" t="s">
        <v>139</v>
      </c>
      <c r="E348" s="284">
        <v>46980</v>
      </c>
      <c r="F348" s="285">
        <v>6.3750000000000001E-2</v>
      </c>
      <c r="G348" s="285">
        <v>6.3399999999999998E-2</v>
      </c>
      <c r="H348" s="285">
        <v>6.54E-2</v>
      </c>
      <c r="I348" s="286">
        <v>6.3797099999999995E-2</v>
      </c>
      <c r="J348" s="321">
        <v>6.4000000000000001E-2</v>
      </c>
      <c r="K348" s="347">
        <v>4095000</v>
      </c>
      <c r="L348" s="351">
        <v>1800000</v>
      </c>
      <c r="M348" s="290">
        <f>IF(L348=0,0,K348/L348)</f>
        <v>2.2749999999999999</v>
      </c>
    </row>
    <row r="349" spans="1:13" ht="12.75" customHeight="1" outlineLevel="1" x14ac:dyDescent="0.2">
      <c r="A349" s="305"/>
      <c r="B349" s="291"/>
      <c r="C349" s="306"/>
      <c r="D349" s="283" t="s">
        <v>213</v>
      </c>
      <c r="E349" s="284">
        <v>48990</v>
      </c>
      <c r="F349" s="285">
        <v>6.6250000000000003E-2</v>
      </c>
      <c r="G349" s="285">
        <v>6.6500000000000004E-2</v>
      </c>
      <c r="H349" s="285">
        <v>6.9099999999999995E-2</v>
      </c>
      <c r="I349" s="324">
        <v>6.7299300000000006E-2</v>
      </c>
      <c r="J349" s="325">
        <v>6.7500000000000004E-2</v>
      </c>
      <c r="K349" s="347">
        <v>11803400</v>
      </c>
      <c r="L349" s="350">
        <v>7850000</v>
      </c>
      <c r="M349" s="290">
        <f>IF(L349=0,0,K349/L349)</f>
        <v>1.5036178343949045</v>
      </c>
    </row>
    <row r="350" spans="1:13" ht="12.75" customHeight="1" outlineLevel="1" x14ac:dyDescent="0.2">
      <c r="A350" s="305"/>
      <c r="B350" s="291"/>
      <c r="C350" s="306"/>
      <c r="D350" s="283" t="s">
        <v>142</v>
      </c>
      <c r="E350" s="284">
        <v>50571</v>
      </c>
      <c r="F350" s="285">
        <v>7.1249999999999994E-2</v>
      </c>
      <c r="G350" s="285">
        <v>6.8599999999999994E-2</v>
      </c>
      <c r="H350" s="285">
        <v>7.0999999999999994E-2</v>
      </c>
      <c r="I350" s="286">
        <v>6.9198399999999993E-2</v>
      </c>
      <c r="J350" s="321">
        <v>6.93E-2</v>
      </c>
      <c r="K350" s="347">
        <v>6046900</v>
      </c>
      <c r="L350" s="351">
        <v>2050000</v>
      </c>
      <c r="M350" s="290">
        <f>IF(L350=0,0,K350/L350)</f>
        <v>2.9497073170731709</v>
      </c>
    </row>
    <row r="351" spans="1:13" ht="12.75" customHeight="1" outlineLevel="1" x14ac:dyDescent="0.2">
      <c r="A351" s="305"/>
      <c r="B351" s="291"/>
      <c r="C351" s="306"/>
      <c r="D351" s="283" t="s">
        <v>141</v>
      </c>
      <c r="E351" s="284">
        <v>52397</v>
      </c>
      <c r="F351" s="285">
        <v>7.1249999999999994E-2</v>
      </c>
      <c r="G351" s="285">
        <v>6.9000000000000006E-2</v>
      </c>
      <c r="H351" s="285">
        <v>7.1499999999999994E-2</v>
      </c>
      <c r="I351" s="286">
        <v>6.9390400000000005E-2</v>
      </c>
      <c r="J351" s="324">
        <v>7.0000000000000007E-2</v>
      </c>
      <c r="K351" s="348">
        <v>4327600</v>
      </c>
      <c r="L351" s="351">
        <v>3400000</v>
      </c>
      <c r="M351" s="290">
        <f>IF(L351=0,0,K351/L351)</f>
        <v>1.2728235294117647</v>
      </c>
    </row>
    <row r="352" spans="1:13" ht="12.75" customHeight="1" outlineLevel="1" x14ac:dyDescent="0.2">
      <c r="A352" s="305"/>
      <c r="B352" s="328"/>
      <c r="C352" s="306"/>
      <c r="D352" s="283" t="s">
        <v>137</v>
      </c>
      <c r="E352" s="284">
        <v>55380</v>
      </c>
      <c r="F352" s="285">
        <v>6.8750000000000006E-2</v>
      </c>
      <c r="G352" s="285">
        <v>6.93E-2</v>
      </c>
      <c r="H352" s="285">
        <v>7.0999999999999994E-2</v>
      </c>
      <c r="I352" s="325">
        <v>6.9997699999999996E-2</v>
      </c>
      <c r="J352" s="324">
        <v>7.0300000000000001E-2</v>
      </c>
      <c r="K352" s="348">
        <v>1561800</v>
      </c>
      <c r="L352" s="350">
        <v>700000</v>
      </c>
      <c r="M352" s="332">
        <f>IF(L352=0,0,K352/L352)</f>
        <v>2.2311428571428573</v>
      </c>
    </row>
    <row r="353" spans="1:15" s="1" customFormat="1" ht="12.75" customHeight="1" outlineLevel="1" x14ac:dyDescent="0.2">
      <c r="A353" s="398" t="s">
        <v>121</v>
      </c>
      <c r="B353" s="399"/>
      <c r="C353" s="400"/>
      <c r="D353" s="400"/>
      <c r="E353" s="400"/>
      <c r="F353" s="400"/>
      <c r="G353" s="400"/>
      <c r="H353" s="400"/>
      <c r="I353" s="400"/>
      <c r="J353" s="401"/>
      <c r="K353" s="294">
        <f>SUM(K346:K352)</f>
        <v>28791700</v>
      </c>
      <c r="L353" s="294">
        <f>SUM(L346:L352)</f>
        <v>15800000</v>
      </c>
      <c r="M353" s="308"/>
    </row>
    <row r="354" spans="1:15" ht="12.75" customHeight="1" outlineLevel="1" x14ac:dyDescent="0.2">
      <c r="A354" s="164">
        <v>45194</v>
      </c>
      <c r="B354" s="158">
        <v>45196</v>
      </c>
      <c r="C354" s="181" t="s">
        <v>224</v>
      </c>
      <c r="D354" s="207" t="s">
        <v>225</v>
      </c>
      <c r="E354" s="225">
        <v>46275</v>
      </c>
      <c r="F354" s="224">
        <v>5.9499999999999997E-2</v>
      </c>
      <c r="G354" s="226"/>
      <c r="H354" s="208"/>
      <c r="I354" s="209"/>
      <c r="J354" s="209"/>
      <c r="K354" s="237">
        <v>17543813</v>
      </c>
      <c r="L354" s="237">
        <v>17543813</v>
      </c>
      <c r="M354" s="210"/>
    </row>
    <row r="355" spans="1:15" ht="12.75" customHeight="1" outlineLevel="1" x14ac:dyDescent="0.2">
      <c r="A355" s="246"/>
      <c r="B355" s="257"/>
      <c r="C355" s="258"/>
      <c r="D355" s="207" t="s">
        <v>226</v>
      </c>
      <c r="E355" s="225">
        <v>47006</v>
      </c>
      <c r="F355" s="224">
        <v>6.0999999999999999E-2</v>
      </c>
      <c r="G355" s="226"/>
      <c r="H355" s="208"/>
      <c r="I355" s="209"/>
      <c r="J355" s="209"/>
      <c r="K355" s="237">
        <v>7790600</v>
      </c>
      <c r="L355" s="237">
        <v>7790600</v>
      </c>
      <c r="M355" s="168"/>
    </row>
    <row r="356" spans="1:15" ht="12.75" customHeight="1" outlineLevel="1" x14ac:dyDescent="0.2">
      <c r="A356" s="433" t="s">
        <v>121</v>
      </c>
      <c r="B356" s="415"/>
      <c r="C356" s="415"/>
      <c r="D356" s="415"/>
      <c r="E356" s="415"/>
      <c r="F356" s="415"/>
      <c r="G356" s="415"/>
      <c r="H356" s="415"/>
      <c r="I356" s="415"/>
      <c r="J356" s="434"/>
      <c r="K356" s="222">
        <f>SUM(K354:K355)</f>
        <v>25334413</v>
      </c>
      <c r="L356" s="222">
        <f>SUM(L354:L355)</f>
        <v>25334413</v>
      </c>
      <c r="M356" s="174">
        <f t="shared" ref="M356:M359" si="50">IF(L356=0,0,K356/L356)</f>
        <v>1</v>
      </c>
    </row>
    <row r="357" spans="1:15" s="187" customFormat="1" ht="17.25" customHeight="1" outlineLevel="1" x14ac:dyDescent="0.2">
      <c r="A357" s="366">
        <v>45194</v>
      </c>
      <c r="B357" s="366">
        <v>45198</v>
      </c>
      <c r="C357" s="367" t="s">
        <v>138</v>
      </c>
      <c r="D357" s="368" t="s">
        <v>165</v>
      </c>
      <c r="E357" s="369">
        <v>47133</v>
      </c>
      <c r="F357" s="370">
        <v>6.4000000000000001E-2</v>
      </c>
      <c r="G357" s="371"/>
      <c r="H357" s="371"/>
      <c r="I357" s="372">
        <v>6.4500000000000002E-2</v>
      </c>
      <c r="J357" s="371"/>
      <c r="K357" s="373">
        <v>677809</v>
      </c>
      <c r="L357" s="379">
        <v>677809</v>
      </c>
      <c r="M357" s="319">
        <f t="shared" si="50"/>
        <v>1</v>
      </c>
      <c r="O357" s="189"/>
    </row>
    <row r="358" spans="1:15" ht="12.75" customHeight="1" outlineLevel="1" x14ac:dyDescent="0.2">
      <c r="A358" s="291"/>
      <c r="B358" s="284"/>
      <c r="C358" s="282"/>
      <c r="D358" s="283" t="s">
        <v>164</v>
      </c>
      <c r="E358" s="284">
        <v>48228</v>
      </c>
      <c r="F358" s="285">
        <v>0.03</v>
      </c>
      <c r="G358" s="285"/>
      <c r="H358" s="285"/>
      <c r="I358" s="286">
        <v>5.2999999999999999E-2</v>
      </c>
      <c r="J358" s="286"/>
      <c r="K358" s="293" t="s">
        <v>265</v>
      </c>
      <c r="L358" s="335" t="s">
        <v>265</v>
      </c>
      <c r="M358" s="292"/>
    </row>
    <row r="359" spans="1:15" ht="12.75" customHeight="1" outlineLevel="1" x14ac:dyDescent="0.2">
      <c r="A359" s="328"/>
      <c r="B359" s="328"/>
      <c r="C359" s="356"/>
      <c r="D359" s="374"/>
      <c r="E359" s="375"/>
      <c r="F359" s="376"/>
      <c r="G359" s="376"/>
      <c r="H359" s="376"/>
      <c r="I359" s="377"/>
      <c r="J359" s="377"/>
      <c r="K359" s="378">
        <f>3017000*15526/1000000</f>
        <v>46841.942000000003</v>
      </c>
      <c r="L359" s="380">
        <f>3017000*15526/1000000</f>
        <v>46841.942000000003</v>
      </c>
      <c r="M359" s="332">
        <f t="shared" si="50"/>
        <v>1</v>
      </c>
    </row>
    <row r="360" spans="1:15" s="187" customFormat="1" ht="13.5" customHeight="1" outlineLevel="1" x14ac:dyDescent="0.2">
      <c r="A360" s="427" t="s">
        <v>121</v>
      </c>
      <c r="B360" s="428"/>
      <c r="C360" s="428"/>
      <c r="D360" s="428"/>
      <c r="E360" s="428"/>
      <c r="F360" s="428"/>
      <c r="G360" s="428"/>
      <c r="H360" s="428"/>
      <c r="I360" s="428"/>
      <c r="J360" s="429"/>
      <c r="K360" s="280">
        <f>SUM(K357,K359)</f>
        <v>724650.94200000004</v>
      </c>
      <c r="L360" s="280">
        <f>SUM(L357,L359)</f>
        <v>724650.94200000004</v>
      </c>
      <c r="M360" s="336"/>
    </row>
    <row r="361" spans="1:15" ht="12" customHeight="1" outlineLevel="1" x14ac:dyDescent="0.2">
      <c r="A361" s="164">
        <v>45195</v>
      </c>
      <c r="B361" s="164">
        <v>45198</v>
      </c>
      <c r="C361" s="160" t="s">
        <v>136</v>
      </c>
      <c r="D361" s="176" t="s">
        <v>223</v>
      </c>
      <c r="E361" s="158">
        <v>45378</v>
      </c>
      <c r="F361" s="167" t="s">
        <v>128</v>
      </c>
      <c r="G361" s="167">
        <v>0.06</v>
      </c>
      <c r="H361" s="167">
        <v>6.3E-2</v>
      </c>
      <c r="I361" s="218" t="s">
        <v>130</v>
      </c>
      <c r="J361" s="218" t="s">
        <v>130</v>
      </c>
      <c r="K361" s="196">
        <v>2521000</v>
      </c>
      <c r="L361" s="196" t="s">
        <v>130</v>
      </c>
      <c r="M361" s="249" t="s">
        <v>130</v>
      </c>
    </row>
    <row r="362" spans="1:15" ht="12" customHeight="1" outlineLevel="1" x14ac:dyDescent="0.2">
      <c r="A362" s="164"/>
      <c r="B362" s="164"/>
      <c r="C362" s="160"/>
      <c r="D362" s="176" t="s">
        <v>146</v>
      </c>
      <c r="E362" s="158">
        <v>45884</v>
      </c>
      <c r="F362" s="167">
        <v>5.3749999999999999E-2</v>
      </c>
      <c r="G362" s="167">
        <v>6.2100000000000002E-2</v>
      </c>
      <c r="H362" s="167">
        <v>6.6500000000000004E-2</v>
      </c>
      <c r="I362" s="218">
        <v>6.2398099999999998E-2</v>
      </c>
      <c r="J362" s="250">
        <v>6.2399999999999997E-2</v>
      </c>
      <c r="K362" s="196">
        <v>14792000</v>
      </c>
      <c r="L362" s="219">
        <v>7830000</v>
      </c>
      <c r="M362" s="172">
        <f t="shared" ref="M362:M365" si="51">IF(L363=0,0,K362/L362)</f>
        <v>1.8891443167305235</v>
      </c>
    </row>
    <row r="363" spans="1:15" ht="12.75" customHeight="1" outlineLevel="1" x14ac:dyDescent="0.2">
      <c r="A363" s="164"/>
      <c r="B363" s="158"/>
      <c r="C363" s="160"/>
      <c r="D363" s="176" t="s">
        <v>50</v>
      </c>
      <c r="E363" s="158">
        <v>46402</v>
      </c>
      <c r="F363" s="167">
        <v>0.06</v>
      </c>
      <c r="G363" s="167">
        <v>6.25E-2</v>
      </c>
      <c r="H363" s="167">
        <v>6.5000000000000002E-2</v>
      </c>
      <c r="I363" s="198" t="s">
        <v>130</v>
      </c>
      <c r="J363" s="197" t="s">
        <v>130</v>
      </c>
      <c r="K363" s="196">
        <v>1473500</v>
      </c>
      <c r="L363" s="196" t="s">
        <v>130</v>
      </c>
      <c r="M363" s="249" t="s">
        <v>130</v>
      </c>
    </row>
    <row r="364" spans="1:15" ht="12.75" customHeight="1" outlineLevel="1" x14ac:dyDescent="0.2">
      <c r="A364" s="156"/>
      <c r="B364" s="156"/>
      <c r="C364" s="156"/>
      <c r="D364" s="2" t="s">
        <v>153</v>
      </c>
      <c r="E364" s="158">
        <v>47376</v>
      </c>
      <c r="F364" s="204">
        <v>6.6250000000000003E-2</v>
      </c>
      <c r="G364" s="167">
        <v>6.25E-2</v>
      </c>
      <c r="H364" s="167">
        <v>6.6500000000000004E-2</v>
      </c>
      <c r="I364" s="198" t="s">
        <v>130</v>
      </c>
      <c r="J364" s="197" t="s">
        <v>130</v>
      </c>
      <c r="K364" s="196">
        <v>1931000</v>
      </c>
      <c r="L364" s="196" t="s">
        <v>130</v>
      </c>
      <c r="M364" s="249" t="s">
        <v>130</v>
      </c>
    </row>
    <row r="365" spans="1:15" ht="12.75" customHeight="1" outlineLevel="1" x14ac:dyDescent="0.2">
      <c r="A365" s="156"/>
      <c r="B365" s="156"/>
      <c r="C365" s="156"/>
      <c r="D365" s="176" t="s">
        <v>150</v>
      </c>
      <c r="E365" s="158">
        <v>49749</v>
      </c>
      <c r="F365" s="167">
        <v>6.8750000000000006E-2</v>
      </c>
      <c r="G365" s="167">
        <v>6.7299999999999999E-2</v>
      </c>
      <c r="H365" s="167">
        <v>7.0400000000000004E-2</v>
      </c>
      <c r="I365" s="165">
        <v>6.7333299999999999E-2</v>
      </c>
      <c r="J365" s="159">
        <v>6.7400000000000002E-2</v>
      </c>
      <c r="K365" s="196">
        <v>4852000</v>
      </c>
      <c r="L365" s="196">
        <v>150000</v>
      </c>
      <c r="M365" s="172">
        <f t="shared" si="51"/>
        <v>32.346666666666664</v>
      </c>
    </row>
    <row r="366" spans="1:15" ht="12.75" customHeight="1" outlineLevel="1" x14ac:dyDescent="0.2">
      <c r="A366" s="251"/>
      <c r="B366" s="156"/>
      <c r="C366" s="252"/>
      <c r="D366" s="176" t="s">
        <v>148</v>
      </c>
      <c r="E366" s="158">
        <v>53858</v>
      </c>
      <c r="F366" s="167">
        <v>6.7500000000000004E-2</v>
      </c>
      <c r="G366" s="167">
        <v>6.8500000000000005E-2</v>
      </c>
      <c r="H366" s="167">
        <v>7.0900000000000005E-2</v>
      </c>
      <c r="I366" s="165">
        <v>6.8557099999999996E-2</v>
      </c>
      <c r="J366" s="198">
        <v>6.8699999999999997E-2</v>
      </c>
      <c r="K366" s="196">
        <v>2209500</v>
      </c>
      <c r="L366" s="196">
        <v>20000</v>
      </c>
      <c r="M366" s="172">
        <f t="shared" ref="M366" si="52">IF(L367=0,0,K366/L366)</f>
        <v>110.47499999999999</v>
      </c>
    </row>
    <row r="367" spans="1:15" s="1" customFormat="1" ht="12.75" customHeight="1" outlineLevel="1" x14ac:dyDescent="0.2">
      <c r="A367" s="417" t="s">
        <v>121</v>
      </c>
      <c r="B367" s="418"/>
      <c r="C367" s="418"/>
      <c r="D367" s="418"/>
      <c r="E367" s="418"/>
      <c r="F367" s="418"/>
      <c r="G367" s="418"/>
      <c r="H367" s="418"/>
      <c r="I367" s="418"/>
      <c r="J367" s="419"/>
      <c r="K367" s="200">
        <f>SUM(K361:K366)</f>
        <v>27779000</v>
      </c>
      <c r="L367" s="200">
        <f>SUM(L361:L366)</f>
        <v>8000000</v>
      </c>
      <c r="M367" s="166"/>
    </row>
    <row r="368" spans="1:15" ht="12.75" customHeight="1" x14ac:dyDescent="0.2">
      <c r="A368" s="402" t="s">
        <v>217</v>
      </c>
      <c r="B368" s="403"/>
      <c r="C368" s="403"/>
      <c r="D368" s="403"/>
      <c r="E368" s="403"/>
      <c r="F368" s="403"/>
      <c r="G368" s="403"/>
      <c r="H368" s="403"/>
      <c r="I368" s="403"/>
      <c r="J368" s="404"/>
      <c r="K368" s="177">
        <f>K338+K345+K353+K367+K330+K356+K360</f>
        <v>134092526.942</v>
      </c>
      <c r="L368" s="177">
        <f>L338+L345+L353+L367+L330+L356+L360</f>
        <v>72171626.942000002</v>
      </c>
      <c r="M368" s="166"/>
    </row>
    <row r="369" spans="1:13" ht="12.75" customHeight="1" x14ac:dyDescent="0.2">
      <c r="A369" s="402" t="s">
        <v>266</v>
      </c>
      <c r="B369" s="431"/>
      <c r="C369" s="403"/>
      <c r="D369" s="403"/>
      <c r="E369" s="403"/>
      <c r="F369" s="403"/>
      <c r="G369" s="403"/>
      <c r="H369" s="403"/>
      <c r="I369" s="403"/>
      <c r="J369" s="404"/>
      <c r="K369" s="177">
        <f>K328+K368</f>
        <v>1551071058.694</v>
      </c>
      <c r="L369" s="177">
        <f>L328+L368</f>
        <v>641370058.69400001</v>
      </c>
      <c r="M369" s="357"/>
    </row>
    <row r="370" spans="1:13" ht="12" customHeight="1" outlineLevel="1" x14ac:dyDescent="0.2">
      <c r="A370" s="326">
        <v>45202</v>
      </c>
      <c r="B370" s="309">
        <v>45204</v>
      </c>
      <c r="C370" s="327" t="s">
        <v>136</v>
      </c>
      <c r="D370" s="283" t="s">
        <v>145</v>
      </c>
      <c r="E370" s="284">
        <v>45295</v>
      </c>
      <c r="F370" s="285" t="s">
        <v>128</v>
      </c>
      <c r="G370" s="341">
        <v>5.8999999999999997E-2</v>
      </c>
      <c r="H370" s="341">
        <v>6.3E-2</v>
      </c>
      <c r="I370" s="316">
        <v>0</v>
      </c>
      <c r="J370" s="316">
        <v>0</v>
      </c>
      <c r="K370" s="347">
        <v>390000</v>
      </c>
      <c r="L370" s="349">
        <v>0</v>
      </c>
      <c r="M370" s="352" t="s">
        <v>130</v>
      </c>
    </row>
    <row r="371" spans="1:13" ht="12" customHeight="1" outlineLevel="1" x14ac:dyDescent="0.2">
      <c r="A371" s="326"/>
      <c r="B371" s="281"/>
      <c r="C371" s="327"/>
      <c r="D371" s="283" t="s">
        <v>198</v>
      </c>
      <c r="E371" s="284">
        <v>45471</v>
      </c>
      <c r="F371" s="285" t="s">
        <v>128</v>
      </c>
      <c r="G371" s="285">
        <v>6.25E-2</v>
      </c>
      <c r="H371" s="285">
        <v>6.4000000000000001E-2</v>
      </c>
      <c r="I371" s="341">
        <v>0</v>
      </c>
      <c r="J371" s="346">
        <v>0</v>
      </c>
      <c r="K371" s="347">
        <v>132000</v>
      </c>
      <c r="L371" s="350">
        <v>0</v>
      </c>
      <c r="M371" s="290">
        <f t="shared" ref="M371" si="53">IF(L371=0,0,K370/L371)</f>
        <v>0</v>
      </c>
    </row>
    <row r="372" spans="1:13" ht="12.75" customHeight="1" outlineLevel="1" x14ac:dyDescent="0.2">
      <c r="A372" s="326"/>
      <c r="B372" s="284"/>
      <c r="C372" s="327"/>
      <c r="D372" s="283" t="s">
        <v>139</v>
      </c>
      <c r="E372" s="284">
        <v>46980</v>
      </c>
      <c r="F372" s="285">
        <v>6.3750000000000001E-2</v>
      </c>
      <c r="G372" s="285">
        <v>6.6000000000000003E-2</v>
      </c>
      <c r="H372" s="285">
        <v>6.8000000000000005E-2</v>
      </c>
      <c r="I372" s="286">
        <v>6.66828E-2</v>
      </c>
      <c r="J372" s="321">
        <v>6.7299999999999999E-2</v>
      </c>
      <c r="K372" s="347">
        <v>4856000</v>
      </c>
      <c r="L372" s="351">
        <v>700000</v>
      </c>
      <c r="M372" s="290">
        <f>IF(L372=0,0,K372/L372)</f>
        <v>6.9371428571428568</v>
      </c>
    </row>
    <row r="373" spans="1:13" ht="12.75" customHeight="1" outlineLevel="1" x14ac:dyDescent="0.2">
      <c r="A373" s="305"/>
      <c r="B373" s="291"/>
      <c r="C373" s="306"/>
      <c r="D373" s="283" t="s">
        <v>213</v>
      </c>
      <c r="E373" s="284">
        <v>48990</v>
      </c>
      <c r="F373" s="285">
        <v>6.6250000000000003E-2</v>
      </c>
      <c r="G373" s="285">
        <v>6.8699999999999997E-2</v>
      </c>
      <c r="H373" s="285">
        <v>7.22E-2</v>
      </c>
      <c r="I373" s="324">
        <v>6.9790900000000003E-2</v>
      </c>
      <c r="J373" s="325">
        <v>7.0099999999999996E-2</v>
      </c>
      <c r="K373" s="347">
        <v>8319400</v>
      </c>
      <c r="L373" s="350">
        <v>650000</v>
      </c>
      <c r="M373" s="290">
        <f>IF(L373=0,0,K373/L373)</f>
        <v>12.799076923076923</v>
      </c>
    </row>
    <row r="374" spans="1:13" ht="12.75" customHeight="1" outlineLevel="1" x14ac:dyDescent="0.2">
      <c r="A374" s="305"/>
      <c r="B374" s="291"/>
      <c r="C374" s="306"/>
      <c r="D374" s="283" t="s">
        <v>142</v>
      </c>
      <c r="E374" s="284">
        <v>50571</v>
      </c>
      <c r="F374" s="285">
        <v>7.1249999999999994E-2</v>
      </c>
      <c r="G374" s="285">
        <v>7.0000000000000007E-2</v>
      </c>
      <c r="H374" s="285">
        <v>7.2999999999999995E-2</v>
      </c>
      <c r="I374" s="286">
        <v>7.0586200000000002E-2</v>
      </c>
      <c r="J374" s="321">
        <v>7.2099999999999997E-2</v>
      </c>
      <c r="K374" s="347">
        <v>4027500</v>
      </c>
      <c r="L374" s="351">
        <v>3750000</v>
      </c>
      <c r="M374" s="290">
        <f>IF(L374=0,0,K374/L374)</f>
        <v>1.0740000000000001</v>
      </c>
    </row>
    <row r="375" spans="1:13" ht="12.75" customHeight="1" outlineLevel="1" x14ac:dyDescent="0.2">
      <c r="A375" s="305"/>
      <c r="B375" s="291"/>
      <c r="C375" s="306"/>
      <c r="D375" s="283" t="s">
        <v>141</v>
      </c>
      <c r="E375" s="284">
        <v>52397</v>
      </c>
      <c r="F375" s="285">
        <v>7.1249999999999994E-2</v>
      </c>
      <c r="G375" s="285">
        <v>7.0000000000000007E-2</v>
      </c>
      <c r="H375" s="285">
        <v>7.2599999999999998E-2</v>
      </c>
      <c r="I375" s="286">
        <v>7.0696899999999993E-2</v>
      </c>
      <c r="J375" s="324">
        <v>7.2599999999999998E-2</v>
      </c>
      <c r="K375" s="348">
        <v>3926300</v>
      </c>
      <c r="L375" s="351">
        <v>3926300</v>
      </c>
      <c r="M375" s="290">
        <f>IF(L375=0,0,K375/L375)</f>
        <v>1</v>
      </c>
    </row>
    <row r="376" spans="1:13" ht="12.75" customHeight="1" outlineLevel="1" x14ac:dyDescent="0.2">
      <c r="A376" s="305"/>
      <c r="B376" s="328"/>
      <c r="C376" s="306"/>
      <c r="D376" s="283" t="s">
        <v>137</v>
      </c>
      <c r="E376" s="284">
        <v>55380</v>
      </c>
      <c r="F376" s="285">
        <v>6.8750000000000006E-2</v>
      </c>
      <c r="G376" s="285">
        <v>6.9800000000000001E-2</v>
      </c>
      <c r="H376" s="285">
        <v>7.2999999999999995E-2</v>
      </c>
      <c r="I376" s="325">
        <v>7.0687299999999995E-2</v>
      </c>
      <c r="J376" s="324">
        <v>7.1599999999999997E-2</v>
      </c>
      <c r="K376" s="348">
        <v>769900</v>
      </c>
      <c r="L376" s="350">
        <v>270000</v>
      </c>
      <c r="M376" s="332">
        <f>IF(L376=0,0,K376/L376)</f>
        <v>2.8514814814814815</v>
      </c>
    </row>
    <row r="377" spans="1:13" s="1" customFormat="1" ht="12.75" customHeight="1" outlineLevel="1" x14ac:dyDescent="0.2">
      <c r="A377" s="398" t="s">
        <v>121</v>
      </c>
      <c r="B377" s="399"/>
      <c r="C377" s="400"/>
      <c r="D377" s="400"/>
      <c r="E377" s="400"/>
      <c r="F377" s="400"/>
      <c r="G377" s="400"/>
      <c r="H377" s="400"/>
      <c r="I377" s="400"/>
      <c r="J377" s="401"/>
      <c r="K377" s="294">
        <f>SUM(K370:K376)</f>
        <v>22421100</v>
      </c>
      <c r="L377" s="294">
        <f>SUM(L370:L376)</f>
        <v>9296300</v>
      </c>
      <c r="M377" s="308"/>
    </row>
    <row r="378" spans="1:13" ht="12" customHeight="1" outlineLevel="1" x14ac:dyDescent="0.2">
      <c r="A378" s="164">
        <v>45209</v>
      </c>
      <c r="B378" s="164">
        <v>45211</v>
      </c>
      <c r="C378" s="160" t="s">
        <v>136</v>
      </c>
      <c r="D378" s="176" t="s">
        <v>228</v>
      </c>
      <c r="E378" s="158">
        <v>45391</v>
      </c>
      <c r="F378" s="167" t="s">
        <v>128</v>
      </c>
      <c r="G378" s="167">
        <v>5.8000000000000003E-2</v>
      </c>
      <c r="H378" s="167">
        <v>0.06</v>
      </c>
      <c r="I378" s="167">
        <v>5.8000000000000003E-2</v>
      </c>
      <c r="J378" s="167">
        <v>5.8000000000000003E-2</v>
      </c>
      <c r="K378" s="196">
        <v>2429000</v>
      </c>
      <c r="L378" s="196">
        <v>350000</v>
      </c>
      <c r="M378" s="172">
        <f>IF(L378=0,0,K378/L378)</f>
        <v>6.94</v>
      </c>
    </row>
    <row r="379" spans="1:13" ht="12" customHeight="1" outlineLevel="1" x14ac:dyDescent="0.2">
      <c r="A379" s="164"/>
      <c r="B379" s="164"/>
      <c r="C379" s="160"/>
      <c r="D379" s="176" t="s">
        <v>146</v>
      </c>
      <c r="E379" s="158">
        <v>45884</v>
      </c>
      <c r="F379" s="167">
        <v>5.3749999999999999E-2</v>
      </c>
      <c r="G379" s="167">
        <v>6.2E-2</v>
      </c>
      <c r="H379" s="167">
        <v>6.6000000000000003E-2</v>
      </c>
      <c r="I379" s="218">
        <v>6.3884999999999997E-2</v>
      </c>
      <c r="J379" s="250">
        <v>6.4500000000000002E-2</v>
      </c>
      <c r="K379" s="196">
        <v>4860000</v>
      </c>
      <c r="L379" s="219">
        <v>4350000</v>
      </c>
      <c r="M379" s="172">
        <f t="shared" ref="M379:M381" si="54">IF(L379=0,0,K379/L379)</f>
        <v>1.1172413793103448</v>
      </c>
    </row>
    <row r="380" spans="1:13" ht="12.75" customHeight="1" outlineLevel="1" x14ac:dyDescent="0.2">
      <c r="A380" s="164"/>
      <c r="B380" s="158"/>
      <c r="C380" s="160"/>
      <c r="D380" s="176" t="s">
        <v>50</v>
      </c>
      <c r="E380" s="158">
        <v>46402</v>
      </c>
      <c r="F380" s="167">
        <v>0.06</v>
      </c>
      <c r="G380" s="167">
        <v>6.4000000000000001E-2</v>
      </c>
      <c r="H380" s="167">
        <v>6.6900000000000001E-2</v>
      </c>
      <c r="I380" s="198">
        <v>6.5060099999999996E-2</v>
      </c>
      <c r="J380" s="167">
        <v>6.6000000000000003E-2</v>
      </c>
      <c r="K380" s="196">
        <v>809000</v>
      </c>
      <c r="L380" s="196">
        <v>200000</v>
      </c>
      <c r="M380" s="172">
        <f t="shared" si="54"/>
        <v>4.0449999999999999</v>
      </c>
    </row>
    <row r="381" spans="1:13" ht="12.75" customHeight="1" outlineLevel="1" x14ac:dyDescent="0.2">
      <c r="A381" s="156"/>
      <c r="B381" s="156"/>
      <c r="C381" s="156"/>
      <c r="D381" s="176" t="s">
        <v>150</v>
      </c>
      <c r="E381" s="158">
        <v>49749</v>
      </c>
      <c r="F381" s="167">
        <v>6.8750000000000006E-2</v>
      </c>
      <c r="G381" s="167">
        <v>6.9699999999999998E-2</v>
      </c>
      <c r="H381" s="167">
        <v>7.1999999999999995E-2</v>
      </c>
      <c r="I381" s="198">
        <v>6.9787500000000002E-2</v>
      </c>
      <c r="J381" s="167">
        <v>6.9800000000000001E-2</v>
      </c>
      <c r="K381" s="196">
        <v>1434000</v>
      </c>
      <c r="L381" s="196">
        <v>100000</v>
      </c>
      <c r="M381" s="172">
        <f t="shared" si="54"/>
        <v>14.34</v>
      </c>
    </row>
    <row r="382" spans="1:13" ht="12.75" customHeight="1" outlineLevel="1" x14ac:dyDescent="0.2">
      <c r="A382" s="156"/>
      <c r="B382" s="156"/>
      <c r="C382" s="156"/>
      <c r="D382" s="176" t="s">
        <v>147</v>
      </c>
      <c r="E382" s="158">
        <v>54589</v>
      </c>
      <c r="F382" s="167">
        <v>6.5000000000000002E-2</v>
      </c>
      <c r="G382" s="167">
        <v>7.0300000000000001E-2</v>
      </c>
      <c r="H382" s="167">
        <v>7.1999999999999995E-2</v>
      </c>
      <c r="I382" s="198" t="s">
        <v>130</v>
      </c>
      <c r="J382" s="198" t="s">
        <v>130</v>
      </c>
      <c r="K382" s="196">
        <v>531000</v>
      </c>
      <c r="L382" s="196" t="s">
        <v>130</v>
      </c>
      <c r="M382" s="249" t="s">
        <v>130</v>
      </c>
    </row>
    <row r="383" spans="1:13" ht="12.75" customHeight="1" outlineLevel="1" x14ac:dyDescent="0.2">
      <c r="A383" s="251"/>
      <c r="B383" s="156"/>
      <c r="C383" s="252"/>
      <c r="D383" s="176" t="s">
        <v>148</v>
      </c>
      <c r="E383" s="158">
        <v>53858</v>
      </c>
      <c r="F383" s="167">
        <v>6.7500000000000004E-2</v>
      </c>
      <c r="G383" s="167">
        <v>7.0400000000000004E-2</v>
      </c>
      <c r="H383" s="167">
        <v>7.2499999999999995E-2</v>
      </c>
      <c r="I383" s="198" t="s">
        <v>130</v>
      </c>
      <c r="J383" s="198" t="s">
        <v>130</v>
      </c>
      <c r="K383" s="196">
        <v>689000</v>
      </c>
      <c r="L383" s="196" t="s">
        <v>130</v>
      </c>
      <c r="M383" s="249" t="s">
        <v>130</v>
      </c>
    </row>
    <row r="384" spans="1:13" s="1" customFormat="1" ht="12.75" customHeight="1" outlineLevel="1" x14ac:dyDescent="0.2">
      <c r="A384" s="417" t="s">
        <v>121</v>
      </c>
      <c r="B384" s="432"/>
      <c r="C384" s="418"/>
      <c r="D384" s="418"/>
      <c r="E384" s="418"/>
      <c r="F384" s="418"/>
      <c r="G384" s="418"/>
      <c r="H384" s="418"/>
      <c r="I384" s="418"/>
      <c r="J384" s="419"/>
      <c r="K384" s="200">
        <f>SUM(K378:K383)</f>
        <v>10752000</v>
      </c>
      <c r="L384" s="200">
        <f>SUM(L378:L383)</f>
        <v>5000000</v>
      </c>
      <c r="M384" s="357"/>
    </row>
    <row r="385" spans="1:13" ht="12.75" customHeight="1" outlineLevel="1" x14ac:dyDescent="0.2">
      <c r="A385" s="164">
        <v>45209</v>
      </c>
      <c r="B385" s="164">
        <v>45212</v>
      </c>
      <c r="C385" s="181" t="s">
        <v>138</v>
      </c>
      <c r="D385" s="207" t="s">
        <v>153</v>
      </c>
      <c r="E385" s="225">
        <v>47376</v>
      </c>
      <c r="F385" s="224">
        <v>6.6250000000000003E-2</v>
      </c>
      <c r="G385" s="226"/>
      <c r="H385" s="208"/>
      <c r="I385" s="209"/>
      <c r="J385" s="209"/>
      <c r="K385" s="237">
        <v>1000000</v>
      </c>
      <c r="L385" s="237">
        <v>1000000</v>
      </c>
      <c r="M385" s="210"/>
    </row>
    <row r="386" spans="1:13" ht="12.75" customHeight="1" outlineLevel="1" x14ac:dyDescent="0.2">
      <c r="A386" s="246"/>
      <c r="B386" s="257"/>
      <c r="C386" s="258"/>
      <c r="D386" s="207" t="s">
        <v>189</v>
      </c>
      <c r="E386" s="225">
        <v>49018</v>
      </c>
      <c r="F386" s="224">
        <v>6.3750000000000001E-2</v>
      </c>
      <c r="G386" s="226"/>
      <c r="H386" s="208"/>
      <c r="I386" s="209"/>
      <c r="J386" s="209"/>
      <c r="K386" s="237">
        <v>3000000</v>
      </c>
      <c r="L386" s="237">
        <v>3000000</v>
      </c>
      <c r="M386" s="168"/>
    </row>
    <row r="387" spans="1:13" ht="12.75" customHeight="1" outlineLevel="1" x14ac:dyDescent="0.2">
      <c r="A387" s="433" t="s">
        <v>121</v>
      </c>
      <c r="B387" s="415"/>
      <c r="C387" s="415"/>
      <c r="D387" s="415"/>
      <c r="E387" s="415"/>
      <c r="F387" s="415"/>
      <c r="G387" s="415"/>
      <c r="H387" s="415"/>
      <c r="I387" s="415"/>
      <c r="J387" s="434"/>
      <c r="K387" s="222">
        <f>SUM(K385:K386)</f>
        <v>4000000</v>
      </c>
      <c r="L387" s="222">
        <f>SUM(L385:L386)</f>
        <v>4000000</v>
      </c>
      <c r="M387" s="174">
        <f t="shared" ref="M387" si="55">IF(L387=0,0,K387/L387)</f>
        <v>1</v>
      </c>
    </row>
    <row r="388" spans="1:13" ht="12" customHeight="1" outlineLevel="1" x14ac:dyDescent="0.2">
      <c r="A388" s="326">
        <v>45216</v>
      </c>
      <c r="B388" s="309">
        <v>45218</v>
      </c>
      <c r="C388" s="327" t="s">
        <v>136</v>
      </c>
      <c r="D388" s="283" t="s">
        <v>229</v>
      </c>
      <c r="E388" s="284">
        <v>45308</v>
      </c>
      <c r="F388" s="285" t="s">
        <v>128</v>
      </c>
      <c r="G388" s="341">
        <v>5.9499999999999997E-2</v>
      </c>
      <c r="H388" s="341">
        <v>0.06</v>
      </c>
      <c r="I388" s="316">
        <v>0</v>
      </c>
      <c r="J388" s="316">
        <v>0</v>
      </c>
      <c r="K388" s="347">
        <v>135000</v>
      </c>
      <c r="L388" s="349">
        <v>0</v>
      </c>
      <c r="M388" s="352" t="s">
        <v>130</v>
      </c>
    </row>
    <row r="389" spans="1:13" ht="12" customHeight="1" outlineLevel="1" x14ac:dyDescent="0.2">
      <c r="A389" s="326"/>
      <c r="B389" s="281"/>
      <c r="C389" s="327"/>
      <c r="D389" s="283" t="s">
        <v>230</v>
      </c>
      <c r="E389" s="284">
        <v>45582</v>
      </c>
      <c r="F389" s="285" t="s">
        <v>128</v>
      </c>
      <c r="G389" s="285">
        <v>6.3500000000000001E-2</v>
      </c>
      <c r="H389" s="285">
        <v>6.3500000000000001E-2</v>
      </c>
      <c r="I389" s="341">
        <v>0</v>
      </c>
      <c r="J389" s="346">
        <v>0</v>
      </c>
      <c r="K389" s="347">
        <v>340000</v>
      </c>
      <c r="L389" s="350">
        <v>0</v>
      </c>
      <c r="M389" s="290">
        <f t="shared" ref="M389" si="56">IF(L389=0,0,K388/L389)</f>
        <v>0</v>
      </c>
    </row>
    <row r="390" spans="1:13" ht="12.75" customHeight="1" outlineLevel="1" x14ac:dyDescent="0.2">
      <c r="A390" s="326"/>
      <c r="B390" s="284"/>
      <c r="C390" s="327"/>
      <c r="D390" s="283" t="s">
        <v>139</v>
      </c>
      <c r="E390" s="284">
        <v>46980</v>
      </c>
      <c r="F390" s="285">
        <v>6.3750000000000001E-2</v>
      </c>
      <c r="G390" s="285">
        <v>6.6000000000000003E-2</v>
      </c>
      <c r="H390" s="285">
        <v>6.8000000000000005E-2</v>
      </c>
      <c r="I390" s="286">
        <v>6.6795900000000005E-2</v>
      </c>
      <c r="J390" s="321">
        <v>6.7199999999999996E-2</v>
      </c>
      <c r="K390" s="347">
        <v>3270000</v>
      </c>
      <c r="L390" s="351">
        <v>2900000</v>
      </c>
      <c r="M390" s="290">
        <f>IF(L390=0,0,K390/L390)</f>
        <v>1.1275862068965516</v>
      </c>
    </row>
    <row r="391" spans="1:13" ht="12.75" customHeight="1" outlineLevel="1" x14ac:dyDescent="0.2">
      <c r="A391" s="305"/>
      <c r="B391" s="291"/>
      <c r="C391" s="306"/>
      <c r="D391" s="283" t="s">
        <v>213</v>
      </c>
      <c r="E391" s="284">
        <v>48990</v>
      </c>
      <c r="F391" s="285">
        <v>6.6250000000000003E-2</v>
      </c>
      <c r="G391" s="285">
        <v>6.7500000000000004E-2</v>
      </c>
      <c r="H391" s="285">
        <v>7.0499999999999993E-2</v>
      </c>
      <c r="I391" s="324">
        <v>6.8298200000000003E-2</v>
      </c>
      <c r="J391" s="325">
        <v>6.8500000000000005E-2</v>
      </c>
      <c r="K391" s="347">
        <v>6763000</v>
      </c>
      <c r="L391" s="350">
        <v>3650000</v>
      </c>
      <c r="M391" s="290">
        <f>IF(L391=0,0,K391/L391)</f>
        <v>1.8528767123287671</v>
      </c>
    </row>
    <row r="392" spans="1:13" ht="12.75" customHeight="1" outlineLevel="1" x14ac:dyDescent="0.2">
      <c r="A392" s="305"/>
      <c r="B392" s="291"/>
      <c r="C392" s="306"/>
      <c r="D392" s="283" t="s">
        <v>142</v>
      </c>
      <c r="E392" s="284">
        <v>50571</v>
      </c>
      <c r="F392" s="285">
        <v>7.1249999999999994E-2</v>
      </c>
      <c r="G392" s="285">
        <v>7.0099999999999996E-2</v>
      </c>
      <c r="H392" s="285">
        <v>7.1999999999999995E-2</v>
      </c>
      <c r="I392" s="286">
        <v>7.0698700000000003E-2</v>
      </c>
      <c r="J392" s="321">
        <v>7.0999999999999994E-2</v>
      </c>
      <c r="K392" s="347">
        <v>3134900</v>
      </c>
      <c r="L392" s="351">
        <v>1700000</v>
      </c>
      <c r="M392" s="290">
        <f>IF(L392=0,0,K392/L392)</f>
        <v>1.8440588235294118</v>
      </c>
    </row>
    <row r="393" spans="1:13" ht="12.75" customHeight="1" outlineLevel="1" x14ac:dyDescent="0.2">
      <c r="A393" s="305"/>
      <c r="B393" s="291"/>
      <c r="C393" s="306"/>
      <c r="D393" s="283" t="s">
        <v>141</v>
      </c>
      <c r="E393" s="284">
        <v>52397</v>
      </c>
      <c r="F393" s="285">
        <v>7.1249999999999994E-2</v>
      </c>
      <c r="G393" s="285">
        <v>6.9500000000000006E-2</v>
      </c>
      <c r="H393" s="285">
        <v>7.1999999999999995E-2</v>
      </c>
      <c r="I393" s="286">
        <v>7.10982E-2</v>
      </c>
      <c r="J393" s="324">
        <v>7.1400000000000005E-2</v>
      </c>
      <c r="K393" s="348">
        <v>2166800</v>
      </c>
      <c r="L393" s="351">
        <v>1300000</v>
      </c>
      <c r="M393" s="290">
        <f>IF(L393=0,0,K393/L393)</f>
        <v>1.6667692307692308</v>
      </c>
    </row>
    <row r="394" spans="1:13" ht="12.75" customHeight="1" outlineLevel="1" x14ac:dyDescent="0.2">
      <c r="A394" s="305"/>
      <c r="B394" s="328"/>
      <c r="C394" s="306"/>
      <c r="D394" s="283" t="s">
        <v>137</v>
      </c>
      <c r="E394" s="284">
        <v>55380</v>
      </c>
      <c r="F394" s="285">
        <v>6.8750000000000006E-2</v>
      </c>
      <c r="G394" s="285">
        <v>6.9699999999999998E-2</v>
      </c>
      <c r="H394" s="285">
        <v>7.1999999999999995E-2</v>
      </c>
      <c r="I394" s="325">
        <v>7.0485900000000004E-2</v>
      </c>
      <c r="J394" s="324">
        <v>7.1199999999999999E-2</v>
      </c>
      <c r="K394" s="348">
        <v>1177100</v>
      </c>
      <c r="L394" s="350">
        <v>650000</v>
      </c>
      <c r="M394" s="332">
        <f>IF(L394=0,0,K394/L394)</f>
        <v>1.8109230769230769</v>
      </c>
    </row>
    <row r="395" spans="1:13" s="1" customFormat="1" ht="12.75" customHeight="1" outlineLevel="1" x14ac:dyDescent="0.2">
      <c r="A395" s="398" t="s">
        <v>121</v>
      </c>
      <c r="B395" s="399"/>
      <c r="C395" s="400"/>
      <c r="D395" s="400"/>
      <c r="E395" s="400"/>
      <c r="F395" s="400"/>
      <c r="G395" s="400"/>
      <c r="H395" s="400"/>
      <c r="I395" s="400"/>
      <c r="J395" s="401"/>
      <c r="K395" s="294">
        <f>SUM(K388:K394)</f>
        <v>16986800</v>
      </c>
      <c r="L395" s="294">
        <f>SUM(L388:L394)</f>
        <v>10200000</v>
      </c>
      <c r="M395" s="308"/>
    </row>
    <row r="396" spans="1:13" ht="12" customHeight="1" outlineLevel="1" x14ac:dyDescent="0.2">
      <c r="A396" s="164">
        <v>45223</v>
      </c>
      <c r="B396" s="164">
        <v>45225</v>
      </c>
      <c r="C396" s="160" t="s">
        <v>136</v>
      </c>
      <c r="D396" s="176" t="s">
        <v>228</v>
      </c>
      <c r="E396" s="158">
        <v>45391</v>
      </c>
      <c r="F396" s="167" t="s">
        <v>128</v>
      </c>
      <c r="G396" s="167">
        <v>0.06</v>
      </c>
      <c r="H396" s="167">
        <v>6.0499999999999998E-2</v>
      </c>
      <c r="I396" s="167">
        <v>6.0044E-2</v>
      </c>
      <c r="J396" s="167">
        <v>6.0499999999999998E-2</v>
      </c>
      <c r="K396" s="196">
        <v>2250000</v>
      </c>
      <c r="L396" s="196">
        <v>500000</v>
      </c>
      <c r="M396" s="172">
        <f>IF(L396=0,0,K396/L396)</f>
        <v>4.5</v>
      </c>
    </row>
    <row r="397" spans="1:13" ht="12" customHeight="1" outlineLevel="1" x14ac:dyDescent="0.2">
      <c r="A397" s="164"/>
      <c r="B397" s="164"/>
      <c r="C397" s="160"/>
      <c r="D397" s="176" t="s">
        <v>146</v>
      </c>
      <c r="E397" s="158">
        <v>45884</v>
      </c>
      <c r="F397" s="167">
        <v>5.3749999999999999E-2</v>
      </c>
      <c r="G397" s="167">
        <v>6.7000000000000004E-2</v>
      </c>
      <c r="H397" s="167">
        <v>7.1499999999999994E-2</v>
      </c>
      <c r="I397" s="218">
        <v>6.7135299999999995E-2</v>
      </c>
      <c r="J397" s="250">
        <v>6.7500000000000004E-2</v>
      </c>
      <c r="K397" s="196">
        <v>836000</v>
      </c>
      <c r="L397" s="219">
        <v>20000</v>
      </c>
      <c r="M397" s="172">
        <f t="shared" ref="M397:M400" si="57">IF(L397=0,0,K397/L397)</f>
        <v>41.8</v>
      </c>
    </row>
    <row r="398" spans="1:13" ht="12.75" customHeight="1" outlineLevel="1" x14ac:dyDescent="0.2">
      <c r="A398" s="164"/>
      <c r="B398" s="158"/>
      <c r="C398" s="160"/>
      <c r="D398" s="176" t="s">
        <v>50</v>
      </c>
      <c r="E398" s="158">
        <v>46402</v>
      </c>
      <c r="F398" s="167">
        <v>0.06</v>
      </c>
      <c r="G398" s="167">
        <v>6.7500000000000004E-2</v>
      </c>
      <c r="H398" s="167">
        <v>7.1999999999999995E-2</v>
      </c>
      <c r="I398" s="198" t="s">
        <v>130</v>
      </c>
      <c r="J398" s="198" t="s">
        <v>130</v>
      </c>
      <c r="K398" s="196">
        <v>775000</v>
      </c>
      <c r="L398" s="196" t="s">
        <v>130</v>
      </c>
      <c r="M398" s="249" t="s">
        <v>130</v>
      </c>
    </row>
    <row r="399" spans="1:13" ht="12.75" customHeight="1" outlineLevel="1" x14ac:dyDescent="0.2">
      <c r="A399" s="156"/>
      <c r="B399" s="156"/>
      <c r="C399" s="156"/>
      <c r="D399" s="2" t="s">
        <v>153</v>
      </c>
      <c r="E399" s="158">
        <v>47376</v>
      </c>
      <c r="F399" s="204">
        <v>6.6250000000000003E-2</v>
      </c>
      <c r="G399" s="167">
        <v>7.0000000000000007E-2</v>
      </c>
      <c r="H399" s="167">
        <v>7.1999999999999995E-2</v>
      </c>
      <c r="I399" s="198" t="s">
        <v>130</v>
      </c>
      <c r="J399" s="198" t="s">
        <v>130</v>
      </c>
      <c r="K399" s="196">
        <v>1836200</v>
      </c>
      <c r="L399" s="196" t="s">
        <v>130</v>
      </c>
      <c r="M399" s="249" t="s">
        <v>130</v>
      </c>
    </row>
    <row r="400" spans="1:13" ht="12.75" customHeight="1" outlineLevel="1" x14ac:dyDescent="0.2">
      <c r="A400" s="156"/>
      <c r="B400" s="156"/>
      <c r="C400" s="156"/>
      <c r="D400" s="176" t="s">
        <v>150</v>
      </c>
      <c r="E400" s="158">
        <v>49749</v>
      </c>
      <c r="F400" s="167">
        <v>6.8750000000000006E-2</v>
      </c>
      <c r="G400" s="167">
        <v>7.0999999999999994E-2</v>
      </c>
      <c r="H400" s="167">
        <v>7.3999999999999996E-2</v>
      </c>
      <c r="I400" s="198">
        <v>7.2099099999999999E-2</v>
      </c>
      <c r="J400" s="198">
        <v>7.2499999999999995E-2</v>
      </c>
      <c r="K400" s="196">
        <v>1950100</v>
      </c>
      <c r="L400" s="196">
        <v>1510000</v>
      </c>
      <c r="M400" s="172">
        <f t="shared" si="57"/>
        <v>1.2914569536423841</v>
      </c>
    </row>
    <row r="401" spans="1:13" ht="12.75" customHeight="1" outlineLevel="1" x14ac:dyDescent="0.2">
      <c r="A401" s="251"/>
      <c r="B401" s="156"/>
      <c r="C401" s="252"/>
      <c r="D401" s="176" t="s">
        <v>148</v>
      </c>
      <c r="E401" s="158">
        <v>53858</v>
      </c>
      <c r="F401" s="167">
        <v>6.7500000000000004E-2</v>
      </c>
      <c r="G401" s="167">
        <v>7.1199999999999999E-2</v>
      </c>
      <c r="H401" s="167">
        <v>7.3899999999999993E-2</v>
      </c>
      <c r="I401" s="198" t="s">
        <v>130</v>
      </c>
      <c r="J401" s="198" t="s">
        <v>130</v>
      </c>
      <c r="K401" s="196">
        <v>597800</v>
      </c>
      <c r="L401" s="196" t="s">
        <v>130</v>
      </c>
      <c r="M401" s="249" t="s">
        <v>130</v>
      </c>
    </row>
    <row r="402" spans="1:13" s="1" customFormat="1" ht="12.75" customHeight="1" outlineLevel="1" x14ac:dyDescent="0.2">
      <c r="A402" s="417" t="s">
        <v>121</v>
      </c>
      <c r="B402" s="418"/>
      <c r="C402" s="418"/>
      <c r="D402" s="418"/>
      <c r="E402" s="418"/>
      <c r="F402" s="418"/>
      <c r="G402" s="418"/>
      <c r="H402" s="418"/>
      <c r="I402" s="418"/>
      <c r="J402" s="419"/>
      <c r="K402" s="200">
        <f>SUM(K396:K401)</f>
        <v>8245100</v>
      </c>
      <c r="L402" s="200">
        <f>SUM(L396:L401)</f>
        <v>2030000</v>
      </c>
      <c r="M402" s="166"/>
    </row>
    <row r="403" spans="1:13" ht="12.75" customHeight="1" x14ac:dyDescent="0.2">
      <c r="A403" s="402" t="s">
        <v>222</v>
      </c>
      <c r="B403" s="403"/>
      <c r="C403" s="403"/>
      <c r="D403" s="403"/>
      <c r="E403" s="403"/>
      <c r="F403" s="403"/>
      <c r="G403" s="403"/>
      <c r="H403" s="403"/>
      <c r="I403" s="403"/>
      <c r="J403" s="404"/>
      <c r="K403" s="177">
        <f>K377+K384+K395+K387+K402</f>
        <v>62405000</v>
      </c>
      <c r="L403" s="177">
        <f>L377+L384+L395+L387+L402</f>
        <v>30526300</v>
      </c>
      <c r="M403" s="166"/>
    </row>
    <row r="404" spans="1:13" ht="12.75" customHeight="1" x14ac:dyDescent="0.2">
      <c r="A404" s="402" t="s">
        <v>236</v>
      </c>
      <c r="B404" s="431"/>
      <c r="C404" s="403"/>
      <c r="D404" s="403"/>
      <c r="E404" s="403"/>
      <c r="F404" s="403"/>
      <c r="G404" s="403"/>
      <c r="H404" s="403"/>
      <c r="I404" s="403"/>
      <c r="J404" s="404"/>
      <c r="K404" s="177">
        <f>K369+K403</f>
        <v>1613476058.694</v>
      </c>
      <c r="L404" s="177">
        <f>L369+L403</f>
        <v>671896358.69400001</v>
      </c>
      <c r="M404" s="357"/>
    </row>
    <row r="405" spans="1:13" ht="12" customHeight="1" outlineLevel="1" x14ac:dyDescent="0.2">
      <c r="A405" s="326">
        <v>45230</v>
      </c>
      <c r="B405" s="309">
        <v>45232</v>
      </c>
      <c r="C405" s="327" t="s">
        <v>136</v>
      </c>
      <c r="D405" s="283" t="s">
        <v>156</v>
      </c>
      <c r="E405" s="284">
        <v>45323</v>
      </c>
      <c r="F405" s="285" t="s">
        <v>128</v>
      </c>
      <c r="G405" s="341">
        <v>0.06</v>
      </c>
      <c r="H405" s="341">
        <v>0.06</v>
      </c>
      <c r="I405" s="316">
        <v>0.06</v>
      </c>
      <c r="J405" s="316">
        <v>0.06</v>
      </c>
      <c r="K405" s="347">
        <v>2001000</v>
      </c>
      <c r="L405" s="349">
        <v>2000</v>
      </c>
      <c r="M405" s="319">
        <f t="shared" ref="M405:M412" si="58">IF(L405=0,0,K405/L405)</f>
        <v>1000.5</v>
      </c>
    </row>
    <row r="406" spans="1:13" ht="12" customHeight="1" outlineLevel="1" x14ac:dyDescent="0.2">
      <c r="A406" s="326"/>
      <c r="B406" s="281"/>
      <c r="C406" s="327"/>
      <c r="D406" s="283" t="s">
        <v>206</v>
      </c>
      <c r="E406" s="284">
        <v>45498</v>
      </c>
      <c r="F406" s="285" t="s">
        <v>128</v>
      </c>
      <c r="G406" s="285">
        <v>6.6000000000000003E-2</v>
      </c>
      <c r="H406" s="285">
        <v>7.0499999999999993E-2</v>
      </c>
      <c r="I406" s="341">
        <v>6.6000000000000003E-2</v>
      </c>
      <c r="J406" s="346">
        <v>6.6000000000000003E-2</v>
      </c>
      <c r="K406" s="347">
        <v>3628000</v>
      </c>
      <c r="L406" s="350">
        <v>200000</v>
      </c>
      <c r="M406" s="290">
        <f t="shared" si="58"/>
        <v>18.14</v>
      </c>
    </row>
    <row r="407" spans="1:13" ht="12.75" customHeight="1" outlineLevel="1" x14ac:dyDescent="0.2">
      <c r="A407" s="326"/>
      <c r="B407" s="284"/>
      <c r="C407" s="327"/>
      <c r="D407" s="283" t="s">
        <v>232</v>
      </c>
      <c r="E407" s="284">
        <v>47223</v>
      </c>
      <c r="F407" s="285">
        <v>6.8750000000000006E-2</v>
      </c>
      <c r="G407" s="285">
        <v>6.9900000000000004E-2</v>
      </c>
      <c r="H407" s="285">
        <v>7.3999999999999996E-2</v>
      </c>
      <c r="I407" s="286">
        <v>7.0597800000000002E-2</v>
      </c>
      <c r="J407" s="321">
        <v>7.1199999999999999E-2</v>
      </c>
      <c r="K407" s="347">
        <v>12938300</v>
      </c>
      <c r="L407" s="351">
        <v>10450000</v>
      </c>
      <c r="M407" s="290">
        <f t="shared" si="58"/>
        <v>1.2381148325358851</v>
      </c>
    </row>
    <row r="408" spans="1:13" ht="12.75" customHeight="1" outlineLevel="1" x14ac:dyDescent="0.2">
      <c r="A408" s="305"/>
      <c r="B408" s="291"/>
      <c r="C408" s="306"/>
      <c r="D408" s="283" t="s">
        <v>157</v>
      </c>
      <c r="E408" s="284">
        <v>47771</v>
      </c>
      <c r="F408" s="285">
        <v>7.3749999999999996E-2</v>
      </c>
      <c r="G408" s="285">
        <v>6.9099999999999995E-2</v>
      </c>
      <c r="H408" s="285">
        <v>7.3999999999999996E-2</v>
      </c>
      <c r="I408" s="341">
        <v>7.0796600000000001E-2</v>
      </c>
      <c r="J408" s="341">
        <v>7.1300000000000002E-2</v>
      </c>
      <c r="K408" s="322">
        <v>2687000</v>
      </c>
      <c r="L408" s="351">
        <v>1650000</v>
      </c>
      <c r="M408" s="290">
        <f t="shared" si="58"/>
        <v>1.6284848484848484</v>
      </c>
    </row>
    <row r="409" spans="1:13" ht="12.75" customHeight="1" outlineLevel="1" x14ac:dyDescent="0.2">
      <c r="A409" s="305"/>
      <c r="B409" s="291"/>
      <c r="C409" s="306"/>
      <c r="D409" s="283" t="s">
        <v>213</v>
      </c>
      <c r="E409" s="284">
        <v>48990</v>
      </c>
      <c r="F409" s="285">
        <v>6.6250000000000003E-2</v>
      </c>
      <c r="G409" s="285">
        <v>7.0499999999999993E-2</v>
      </c>
      <c r="H409" s="285">
        <v>7.4499999999999997E-2</v>
      </c>
      <c r="I409" s="324">
        <v>7.1495400000000001E-2</v>
      </c>
      <c r="J409" s="325">
        <v>7.1999999999999995E-2</v>
      </c>
      <c r="K409" s="347">
        <v>6602000</v>
      </c>
      <c r="L409" s="350">
        <v>4100000</v>
      </c>
      <c r="M409" s="290">
        <f t="shared" si="58"/>
        <v>1.6102439024390245</v>
      </c>
    </row>
    <row r="410" spans="1:13" ht="12.75" customHeight="1" outlineLevel="1" x14ac:dyDescent="0.2">
      <c r="A410" s="305"/>
      <c r="B410" s="291"/>
      <c r="C410" s="306"/>
      <c r="D410" s="283" t="s">
        <v>142</v>
      </c>
      <c r="E410" s="284">
        <v>50571</v>
      </c>
      <c r="F410" s="285">
        <v>7.1249999999999994E-2</v>
      </c>
      <c r="G410" s="285">
        <v>7.0999999999999994E-2</v>
      </c>
      <c r="H410" s="285">
        <v>7.4999999999999997E-2</v>
      </c>
      <c r="I410" s="286">
        <v>7.1798500000000001E-2</v>
      </c>
      <c r="J410" s="321">
        <v>7.2499999999999995E-2</v>
      </c>
      <c r="K410" s="347">
        <v>3450600</v>
      </c>
      <c r="L410" s="351">
        <v>2500000</v>
      </c>
      <c r="M410" s="290">
        <f t="shared" si="58"/>
        <v>1.3802399999999999</v>
      </c>
    </row>
    <row r="411" spans="1:13" ht="12.75" customHeight="1" outlineLevel="1" x14ac:dyDescent="0.2">
      <c r="A411" s="305"/>
      <c r="B411" s="291"/>
      <c r="C411" s="306"/>
      <c r="D411" s="283" t="s">
        <v>141</v>
      </c>
      <c r="E411" s="284">
        <v>52397</v>
      </c>
      <c r="F411" s="285">
        <v>7.1249999999999994E-2</v>
      </c>
      <c r="G411" s="285">
        <v>7.1599999999999997E-2</v>
      </c>
      <c r="H411" s="285">
        <v>7.46E-2</v>
      </c>
      <c r="I411" s="286">
        <v>7.1996099999999993E-2</v>
      </c>
      <c r="J411" s="324">
        <v>7.22E-2</v>
      </c>
      <c r="K411" s="348">
        <v>2765700</v>
      </c>
      <c r="L411" s="351">
        <v>300000</v>
      </c>
      <c r="M411" s="290">
        <f t="shared" si="58"/>
        <v>9.2189999999999994</v>
      </c>
    </row>
    <row r="412" spans="1:13" ht="12.75" customHeight="1" outlineLevel="1" x14ac:dyDescent="0.2">
      <c r="A412" s="305"/>
      <c r="B412" s="328"/>
      <c r="C412" s="306"/>
      <c r="D412" s="283" t="s">
        <v>137</v>
      </c>
      <c r="E412" s="284">
        <v>55380</v>
      </c>
      <c r="F412" s="285">
        <v>6.8750000000000006E-2</v>
      </c>
      <c r="G412" s="285">
        <v>7.17E-2</v>
      </c>
      <c r="H412" s="285">
        <v>7.3999999999999996E-2</v>
      </c>
      <c r="I412" s="325">
        <v>7.2073999999999999E-2</v>
      </c>
      <c r="J412" s="324">
        <v>7.22E-2</v>
      </c>
      <c r="K412" s="348">
        <v>1797500</v>
      </c>
      <c r="L412" s="350">
        <v>100000</v>
      </c>
      <c r="M412" s="332">
        <f t="shared" si="58"/>
        <v>17.975000000000001</v>
      </c>
    </row>
    <row r="413" spans="1:13" s="1" customFormat="1" ht="12.75" customHeight="1" outlineLevel="1" x14ac:dyDescent="0.2">
      <c r="A413" s="435" t="s">
        <v>121</v>
      </c>
      <c r="B413" s="413"/>
      <c r="C413" s="416"/>
      <c r="D413" s="416"/>
      <c r="E413" s="416"/>
      <c r="F413" s="416"/>
      <c r="G413" s="416"/>
      <c r="H413" s="416"/>
      <c r="I413" s="416"/>
      <c r="J413" s="436"/>
      <c r="K413" s="333">
        <f>SUM(K405:K412)</f>
        <v>35870100</v>
      </c>
      <c r="L413" s="333">
        <f>SUM(L405:L412)</f>
        <v>19302000</v>
      </c>
      <c r="M413" s="308"/>
    </row>
    <row r="414" spans="1:13" ht="12.75" customHeight="1" x14ac:dyDescent="0.2">
      <c r="A414" s="354">
        <v>45236</v>
      </c>
      <c r="B414" s="381">
        <v>45238</v>
      </c>
      <c r="C414" s="383" t="s">
        <v>158</v>
      </c>
      <c r="D414" s="311" t="s">
        <v>234</v>
      </c>
      <c r="E414" s="385">
        <v>46310</v>
      </c>
      <c r="F414" s="315">
        <v>6.0999999999999999E-2</v>
      </c>
      <c r="G414" s="315"/>
      <c r="H414" s="315"/>
      <c r="I414" s="316"/>
      <c r="J414" s="316"/>
      <c r="K414" s="320">
        <v>11862803</v>
      </c>
      <c r="L414" s="320">
        <v>11862803</v>
      </c>
      <c r="M414" s="360">
        <f>IF(L414=0,0,K414/L414)</f>
        <v>1</v>
      </c>
    </row>
    <row r="415" spans="1:13" ht="12.75" customHeight="1" x14ac:dyDescent="0.2">
      <c r="A415" s="355"/>
      <c r="B415" s="382"/>
      <c r="C415" s="384"/>
      <c r="D415" s="374" t="s">
        <v>235</v>
      </c>
      <c r="E415" s="375">
        <v>47406</v>
      </c>
      <c r="F415" s="376">
        <v>6.3500000000000001E-2</v>
      </c>
      <c r="G415" s="376"/>
      <c r="H415" s="376"/>
      <c r="I415" s="386"/>
      <c r="J415" s="386"/>
      <c r="K415" s="387">
        <v>2644853</v>
      </c>
      <c r="L415" s="387">
        <v>2644853</v>
      </c>
      <c r="M415" s="361">
        <f>IF(L415=0,0,K415/L415)</f>
        <v>1</v>
      </c>
    </row>
    <row r="416" spans="1:13" ht="12" customHeight="1" x14ac:dyDescent="0.2">
      <c r="A416" s="412" t="s">
        <v>121</v>
      </c>
      <c r="B416" s="399"/>
      <c r="C416" s="399"/>
      <c r="D416" s="399"/>
      <c r="E416" s="399"/>
      <c r="F416" s="399"/>
      <c r="G416" s="399"/>
      <c r="H416" s="399"/>
      <c r="I416" s="399"/>
      <c r="J416" s="414"/>
      <c r="K416" s="302">
        <f>SUM(K414:K415)</f>
        <v>14507656</v>
      </c>
      <c r="L416" s="302">
        <f>SUM(L414:L415)</f>
        <v>14507656</v>
      </c>
      <c r="M416" s="295"/>
    </row>
    <row r="417" spans="1:13" ht="12" customHeight="1" outlineLevel="1" x14ac:dyDescent="0.2">
      <c r="A417" s="164">
        <v>45237</v>
      </c>
      <c r="B417" s="164">
        <v>45239</v>
      </c>
      <c r="C417" s="160" t="s">
        <v>136</v>
      </c>
      <c r="D417" s="176" t="s">
        <v>237</v>
      </c>
      <c r="E417" s="158">
        <v>45419</v>
      </c>
      <c r="F417" s="167" t="s">
        <v>128</v>
      </c>
      <c r="G417" s="167">
        <v>6.0400000000000002E-2</v>
      </c>
      <c r="H417" s="167">
        <v>6.0999999999999999E-2</v>
      </c>
      <c r="I417" s="167">
        <v>6.0529800000000002E-2</v>
      </c>
      <c r="J417" s="167">
        <v>6.0999999999999999E-2</v>
      </c>
      <c r="K417" s="196">
        <v>7420000</v>
      </c>
      <c r="L417" s="196">
        <v>840000</v>
      </c>
      <c r="M417" s="172">
        <f>IF(L417=0,0,K417/L417)</f>
        <v>8.8333333333333339</v>
      </c>
    </row>
    <row r="418" spans="1:13" ht="12" customHeight="1" outlineLevel="1" x14ac:dyDescent="0.2">
      <c r="A418" s="164"/>
      <c r="B418" s="164"/>
      <c r="C418" s="160"/>
      <c r="D418" s="176" t="s">
        <v>146</v>
      </c>
      <c r="E418" s="158">
        <v>45884</v>
      </c>
      <c r="F418" s="167">
        <v>5.3749999999999999E-2</v>
      </c>
      <c r="G418" s="167">
        <v>6.5199999999999994E-2</v>
      </c>
      <c r="H418" s="167">
        <v>7.0000000000000007E-2</v>
      </c>
      <c r="I418" s="218">
        <v>6.6838900000000007E-2</v>
      </c>
      <c r="J418" s="250">
        <v>6.7599999999999993E-2</v>
      </c>
      <c r="K418" s="196">
        <v>2881000</v>
      </c>
      <c r="L418" s="219">
        <v>1000000</v>
      </c>
      <c r="M418" s="172">
        <f>IF(L418=0,0,K418/L418)</f>
        <v>2.8809999999999998</v>
      </c>
    </row>
    <row r="419" spans="1:13" ht="12.75" customHeight="1" outlineLevel="1" x14ac:dyDescent="0.2">
      <c r="A419" s="164"/>
      <c r="B419" s="158"/>
      <c r="C419" s="160"/>
      <c r="D419" s="176" t="s">
        <v>50</v>
      </c>
      <c r="E419" s="158">
        <v>46402</v>
      </c>
      <c r="F419" s="167">
        <v>0.06</v>
      </c>
      <c r="G419" s="167">
        <v>6.7000000000000004E-2</v>
      </c>
      <c r="H419" s="167">
        <v>7.0199999999999999E-2</v>
      </c>
      <c r="I419" s="198" t="s">
        <v>130</v>
      </c>
      <c r="J419" s="198" t="s">
        <v>130</v>
      </c>
      <c r="K419" s="196">
        <v>2211000</v>
      </c>
      <c r="L419" s="196" t="s">
        <v>130</v>
      </c>
      <c r="M419" s="249" t="s">
        <v>130</v>
      </c>
    </row>
    <row r="420" spans="1:13" ht="12.75" customHeight="1" outlineLevel="1" x14ac:dyDescent="0.2">
      <c r="A420" s="156"/>
      <c r="B420" s="156"/>
      <c r="C420" s="156"/>
      <c r="D420" s="176" t="s">
        <v>150</v>
      </c>
      <c r="E420" s="158">
        <v>49749</v>
      </c>
      <c r="F420" s="167">
        <v>6.8750000000000006E-2</v>
      </c>
      <c r="G420" s="167">
        <v>7.0000000000000007E-2</v>
      </c>
      <c r="H420" s="167">
        <v>7.1999999999999995E-2</v>
      </c>
      <c r="I420" s="198" t="s">
        <v>238</v>
      </c>
      <c r="J420" s="167">
        <v>7.0400000000000004E-2</v>
      </c>
      <c r="K420" s="196">
        <v>1892500</v>
      </c>
      <c r="L420" s="196">
        <v>400000</v>
      </c>
      <c r="M420" s="172">
        <f t="shared" ref="M420" si="59">IF(L420=0,0,K420/L420)</f>
        <v>4.7312500000000002</v>
      </c>
    </row>
    <row r="421" spans="1:13" ht="12.75" customHeight="1" outlineLevel="1" x14ac:dyDescent="0.2">
      <c r="A421" s="156"/>
      <c r="B421" s="156"/>
      <c r="C421" s="156"/>
      <c r="D421" s="176" t="s">
        <v>147</v>
      </c>
      <c r="E421" s="158">
        <v>54589</v>
      </c>
      <c r="F421" s="167">
        <v>6.5000000000000002E-2</v>
      </c>
      <c r="G421" s="167">
        <v>7.0199999999999999E-2</v>
      </c>
      <c r="H421" s="167">
        <v>7.2999999999999995E-2</v>
      </c>
      <c r="I421" s="198" t="s">
        <v>130</v>
      </c>
      <c r="J421" s="198" t="s">
        <v>130</v>
      </c>
      <c r="K421" s="196">
        <v>817000</v>
      </c>
      <c r="L421" s="196" t="s">
        <v>130</v>
      </c>
      <c r="M421" s="249" t="s">
        <v>130</v>
      </c>
    </row>
    <row r="422" spans="1:13" ht="12.75" customHeight="1" outlineLevel="1" x14ac:dyDescent="0.2">
      <c r="A422" s="251"/>
      <c r="B422" s="156"/>
      <c r="C422" s="252"/>
      <c r="D422" s="176" t="s">
        <v>148</v>
      </c>
      <c r="E422" s="158">
        <v>53858</v>
      </c>
      <c r="F422" s="167">
        <v>6.7500000000000004E-2</v>
      </c>
      <c r="G422" s="167">
        <v>7.0800000000000002E-2</v>
      </c>
      <c r="H422" s="167">
        <v>7.2099999999999997E-2</v>
      </c>
      <c r="I422" s="198" t="s">
        <v>130</v>
      </c>
      <c r="J422" s="198" t="s">
        <v>130</v>
      </c>
      <c r="K422" s="196">
        <v>646500</v>
      </c>
      <c r="L422" s="196" t="s">
        <v>130</v>
      </c>
      <c r="M422" s="249" t="s">
        <v>130</v>
      </c>
    </row>
    <row r="423" spans="1:13" s="1" customFormat="1" ht="12.75" customHeight="1" outlineLevel="1" x14ac:dyDescent="0.2">
      <c r="A423" s="417" t="s">
        <v>121</v>
      </c>
      <c r="B423" s="432"/>
      <c r="C423" s="418"/>
      <c r="D423" s="418"/>
      <c r="E423" s="418"/>
      <c r="F423" s="418"/>
      <c r="G423" s="418"/>
      <c r="H423" s="418"/>
      <c r="I423" s="418"/>
      <c r="J423" s="419"/>
      <c r="K423" s="200">
        <f>SUM(K417:K422)</f>
        <v>15868000</v>
      </c>
      <c r="L423" s="200">
        <f>SUM(L417:L422)</f>
        <v>2240000</v>
      </c>
      <c r="M423" s="357"/>
    </row>
    <row r="424" spans="1:13" ht="12" customHeight="1" outlineLevel="1" x14ac:dyDescent="0.2">
      <c r="A424" s="326">
        <v>45244</v>
      </c>
      <c r="B424" s="309">
        <v>45246</v>
      </c>
      <c r="C424" s="327" t="s">
        <v>136</v>
      </c>
      <c r="D424" s="283" t="s">
        <v>239</v>
      </c>
      <c r="E424" s="284">
        <v>45336</v>
      </c>
      <c r="F424" s="285" t="s">
        <v>128</v>
      </c>
      <c r="G424" s="341">
        <v>0.06</v>
      </c>
      <c r="H424" s="341">
        <v>0.06</v>
      </c>
      <c r="I424" s="316">
        <v>0.06</v>
      </c>
      <c r="J424" s="316">
        <v>0.06</v>
      </c>
      <c r="K424" s="347">
        <v>2020000</v>
      </c>
      <c r="L424" s="349">
        <v>40000</v>
      </c>
      <c r="M424" s="319">
        <f>IF(L424=0,0,K424/L424)</f>
        <v>50.5</v>
      </c>
    </row>
    <row r="425" spans="1:13" ht="12" customHeight="1" outlineLevel="1" x14ac:dyDescent="0.2">
      <c r="A425" s="326"/>
      <c r="B425" s="281"/>
      <c r="C425" s="327"/>
      <c r="D425" s="283" t="s">
        <v>240</v>
      </c>
      <c r="E425" s="284">
        <v>45610</v>
      </c>
      <c r="F425" s="285" t="s">
        <v>128</v>
      </c>
      <c r="G425" s="285">
        <v>6.7400000000000002E-2</v>
      </c>
      <c r="H425" s="285">
        <v>7.0099999999999996E-2</v>
      </c>
      <c r="I425" s="341">
        <v>6.8498400000000001E-2</v>
      </c>
      <c r="J425" s="346">
        <v>6.9000000000000006E-2</v>
      </c>
      <c r="K425" s="347">
        <v>5466000</v>
      </c>
      <c r="L425" s="350">
        <v>3150000</v>
      </c>
      <c r="M425" s="290">
        <f t="shared" ref="M425" si="60">IF(L425=0,0,K425/L425)</f>
        <v>1.7352380952380952</v>
      </c>
    </row>
    <row r="426" spans="1:13" ht="12.75" customHeight="1" outlineLevel="1" x14ac:dyDescent="0.2">
      <c r="A426" s="326"/>
      <c r="B426" s="284"/>
      <c r="C426" s="327"/>
      <c r="D426" s="283" t="s">
        <v>232</v>
      </c>
      <c r="E426" s="284">
        <v>47223</v>
      </c>
      <c r="F426" s="285">
        <v>6.8750000000000006E-2</v>
      </c>
      <c r="G426" s="285">
        <v>6.8900000000000003E-2</v>
      </c>
      <c r="H426" s="285">
        <v>7.1999999999999995E-2</v>
      </c>
      <c r="I426" s="286">
        <v>6.9527900000000004E-2</v>
      </c>
      <c r="J426" s="321">
        <v>6.9900000000000004E-2</v>
      </c>
      <c r="K426" s="347">
        <v>12464500</v>
      </c>
      <c r="L426" s="351">
        <v>8060000</v>
      </c>
      <c r="M426" s="290">
        <f>IF(L426=0,0,K426/L426)</f>
        <v>1.5464640198511166</v>
      </c>
    </row>
    <row r="427" spans="1:13" ht="12.75" customHeight="1" outlineLevel="1" x14ac:dyDescent="0.2">
      <c r="A427" s="305"/>
      <c r="B427" s="291"/>
      <c r="C427" s="306"/>
      <c r="D427" s="283" t="s">
        <v>213</v>
      </c>
      <c r="E427" s="284">
        <v>48990</v>
      </c>
      <c r="F427" s="285">
        <v>6.6250000000000003E-2</v>
      </c>
      <c r="G427" s="285">
        <v>6.8699999999999997E-2</v>
      </c>
      <c r="H427" s="285">
        <v>7.1999999999999995E-2</v>
      </c>
      <c r="I427" s="324">
        <v>6.9497900000000001E-2</v>
      </c>
      <c r="J427" s="325">
        <v>6.9699999999999998E-2</v>
      </c>
      <c r="K427" s="347">
        <v>8023000</v>
      </c>
      <c r="L427" s="350">
        <v>3200000</v>
      </c>
      <c r="M427" s="290">
        <f>IF(L427=0,0,K427/L427)</f>
        <v>2.5071875000000001</v>
      </c>
    </row>
    <row r="428" spans="1:13" ht="12.75" customHeight="1" outlineLevel="1" x14ac:dyDescent="0.2">
      <c r="A428" s="305"/>
      <c r="B428" s="291"/>
      <c r="C428" s="306"/>
      <c r="D428" s="283" t="s">
        <v>142</v>
      </c>
      <c r="E428" s="284">
        <v>50571</v>
      </c>
      <c r="F428" s="285">
        <v>7.1249999999999994E-2</v>
      </c>
      <c r="G428" s="285">
        <v>7.0000000000000007E-2</v>
      </c>
      <c r="H428" s="285">
        <v>7.2499999999999995E-2</v>
      </c>
      <c r="I428" s="286">
        <v>7.0582500000000006E-2</v>
      </c>
      <c r="J428" s="321">
        <v>7.1199999999999999E-2</v>
      </c>
      <c r="K428" s="347">
        <v>2426600</v>
      </c>
      <c r="L428" s="351">
        <v>1800000</v>
      </c>
      <c r="M428" s="290">
        <f>IF(L428=0,0,K428/L428)</f>
        <v>1.348111111111111</v>
      </c>
    </row>
    <row r="429" spans="1:13" ht="12.75" customHeight="1" outlineLevel="1" x14ac:dyDescent="0.2">
      <c r="A429" s="305"/>
      <c r="B429" s="291"/>
      <c r="C429" s="306"/>
      <c r="D429" s="283" t="s">
        <v>141</v>
      </c>
      <c r="E429" s="284">
        <v>52397</v>
      </c>
      <c r="F429" s="285">
        <v>7.1249999999999994E-2</v>
      </c>
      <c r="G429" s="285">
        <v>7.0800000000000002E-2</v>
      </c>
      <c r="H429" s="285">
        <v>7.2999999999999995E-2</v>
      </c>
      <c r="I429" s="286">
        <v>7.1186899999999997E-2</v>
      </c>
      <c r="J429" s="324">
        <v>7.17E-2</v>
      </c>
      <c r="K429" s="348">
        <v>1880000</v>
      </c>
      <c r="L429" s="351">
        <v>1500000</v>
      </c>
      <c r="M429" s="290">
        <f>IF(L429=0,0,K429/L429)</f>
        <v>1.2533333333333334</v>
      </c>
    </row>
    <row r="430" spans="1:13" ht="12.75" customHeight="1" outlineLevel="1" x14ac:dyDescent="0.2">
      <c r="A430" s="305"/>
      <c r="B430" s="328"/>
      <c r="C430" s="306"/>
      <c r="D430" s="283" t="s">
        <v>137</v>
      </c>
      <c r="E430" s="284">
        <v>55380</v>
      </c>
      <c r="F430" s="285">
        <v>6.8750000000000006E-2</v>
      </c>
      <c r="G430" s="285">
        <v>7.0499999999999993E-2</v>
      </c>
      <c r="H430" s="285">
        <v>7.2400000000000006E-2</v>
      </c>
      <c r="I430" s="325">
        <v>7.1281399999999995E-2</v>
      </c>
      <c r="J430" s="324">
        <v>7.17E-2</v>
      </c>
      <c r="K430" s="348">
        <v>1395900</v>
      </c>
      <c r="L430" s="350">
        <v>1250000</v>
      </c>
      <c r="M430" s="332">
        <f>IF(L430=0,0,K430/L430)</f>
        <v>1.1167199999999999</v>
      </c>
    </row>
    <row r="431" spans="1:13" s="1" customFormat="1" ht="12.75" customHeight="1" outlineLevel="1" x14ac:dyDescent="0.2">
      <c r="A431" s="398" t="s">
        <v>121</v>
      </c>
      <c r="B431" s="399"/>
      <c r="C431" s="400"/>
      <c r="D431" s="400"/>
      <c r="E431" s="400"/>
      <c r="F431" s="400"/>
      <c r="G431" s="400"/>
      <c r="H431" s="400"/>
      <c r="I431" s="400"/>
      <c r="J431" s="400"/>
      <c r="K431" s="390">
        <f>SUM(K424:K430)</f>
        <v>33676000</v>
      </c>
      <c r="L431" s="390">
        <f>SUM(L424:L430)</f>
        <v>19000000</v>
      </c>
      <c r="M431" s="391"/>
    </row>
    <row r="432" spans="1:13" ht="12.75" customHeight="1" outlineLevel="1" x14ac:dyDescent="0.2">
      <c r="A432" s="158">
        <v>45237</v>
      </c>
      <c r="B432" s="158">
        <v>45245</v>
      </c>
      <c r="C432" s="160" t="s">
        <v>158</v>
      </c>
      <c r="D432" s="176" t="s">
        <v>241</v>
      </c>
      <c r="E432" s="158">
        <v>47072</v>
      </c>
      <c r="F432" s="167">
        <v>5.3999999999999999E-2</v>
      </c>
      <c r="G432" s="167"/>
      <c r="H432" s="167"/>
      <c r="I432" s="167">
        <v>5.3999999999999999E-2</v>
      </c>
      <c r="J432" s="165"/>
      <c r="K432" s="173" t="s">
        <v>117</v>
      </c>
      <c r="L432" s="173" t="str">
        <f t="shared" ref="L432:L435" si="61">K432</f>
        <v>USD1.000.000.000</v>
      </c>
      <c r="M432" s="174"/>
    </row>
    <row r="433" spans="1:13" ht="12.75" customHeight="1" outlineLevel="1" x14ac:dyDescent="0.2">
      <c r="A433" s="156"/>
      <c r="B433" s="156"/>
      <c r="C433" s="160"/>
      <c r="D433" s="176"/>
      <c r="E433" s="158"/>
      <c r="F433" s="167"/>
      <c r="G433" s="167"/>
      <c r="H433" s="167"/>
      <c r="I433" s="167"/>
      <c r="J433" s="165"/>
      <c r="K433" s="173">
        <f>15699*1000000000/1000000</f>
        <v>15699000</v>
      </c>
      <c r="L433" s="173">
        <f t="shared" si="61"/>
        <v>15699000</v>
      </c>
      <c r="M433" s="174"/>
    </row>
    <row r="434" spans="1:13" ht="12.75" customHeight="1" outlineLevel="1" x14ac:dyDescent="0.2">
      <c r="A434" s="156"/>
      <c r="B434" s="158"/>
      <c r="C434" s="160"/>
      <c r="D434" s="176" t="s">
        <v>242</v>
      </c>
      <c r="E434" s="158">
        <v>48898</v>
      </c>
      <c r="F434" s="167">
        <v>5.6000000000000001E-2</v>
      </c>
      <c r="G434" s="167"/>
      <c r="H434" s="167"/>
      <c r="I434" s="167">
        <v>5.6000000000000001E-2</v>
      </c>
      <c r="J434" s="165"/>
      <c r="K434" s="173" t="s">
        <v>117</v>
      </c>
      <c r="L434" s="173" t="str">
        <f t="shared" ref="L434" si="62">K434</f>
        <v>USD1.000.000.000</v>
      </c>
      <c r="M434" s="174"/>
    </row>
    <row r="435" spans="1:13" ht="12.75" customHeight="1" outlineLevel="1" x14ac:dyDescent="0.2">
      <c r="A435" s="156"/>
      <c r="B435" s="156"/>
      <c r="C435" s="160"/>
      <c r="D435" s="176"/>
      <c r="E435" s="158"/>
      <c r="F435" s="167"/>
      <c r="G435" s="167"/>
      <c r="H435" s="167"/>
      <c r="I435" s="165"/>
      <c r="J435" s="165"/>
      <c r="K435" s="173">
        <f>15699*1000000000/1000000</f>
        <v>15699000</v>
      </c>
      <c r="L435" s="173">
        <f t="shared" si="61"/>
        <v>15699000</v>
      </c>
      <c r="M435" s="174"/>
    </row>
    <row r="436" spans="1:13" s="1" customFormat="1" ht="12.75" customHeight="1" outlineLevel="1" x14ac:dyDescent="0.2">
      <c r="A436" s="420" t="s">
        <v>121</v>
      </c>
      <c r="B436" s="421"/>
      <c r="C436" s="421"/>
      <c r="D436" s="421"/>
      <c r="E436" s="421"/>
      <c r="F436" s="421"/>
      <c r="G436" s="421"/>
      <c r="H436" s="421"/>
      <c r="I436" s="421"/>
      <c r="J436" s="422"/>
      <c r="K436" s="178">
        <f>SUM(K433,K435)</f>
        <v>31398000</v>
      </c>
      <c r="L436" s="178">
        <f>SUM(L433,L435)</f>
        <v>31398000</v>
      </c>
      <c r="M436" s="179"/>
    </row>
    <row r="437" spans="1:13" ht="12" customHeight="1" outlineLevel="1" x14ac:dyDescent="0.2">
      <c r="A437" s="164">
        <v>45251</v>
      </c>
      <c r="B437" s="164">
        <v>45253</v>
      </c>
      <c r="C437" s="160" t="s">
        <v>136</v>
      </c>
      <c r="D437" s="176" t="s">
        <v>237</v>
      </c>
      <c r="E437" s="158">
        <v>45419</v>
      </c>
      <c r="F437" s="167" t="s">
        <v>128</v>
      </c>
      <c r="G437" s="167">
        <v>6.25E-2</v>
      </c>
      <c r="H437" s="167">
        <v>6.6900000000000001E-2</v>
      </c>
      <c r="I437" s="167">
        <v>6.25E-2</v>
      </c>
      <c r="J437" s="167">
        <v>6.25E-2</v>
      </c>
      <c r="K437" s="196">
        <v>5215000</v>
      </c>
      <c r="L437" s="196">
        <v>30000</v>
      </c>
      <c r="M437" s="172">
        <f>IF(L437=0,0,K437/L437)</f>
        <v>173.83333333333334</v>
      </c>
    </row>
    <row r="438" spans="1:13" ht="12" customHeight="1" outlineLevel="1" x14ac:dyDescent="0.2">
      <c r="A438" s="164"/>
      <c r="B438" s="164"/>
      <c r="C438" s="160"/>
      <c r="D438" s="176" t="s">
        <v>146</v>
      </c>
      <c r="E438" s="158">
        <v>45884</v>
      </c>
      <c r="F438" s="167">
        <v>5.3749999999999999E-2</v>
      </c>
      <c r="G438" s="167">
        <v>6.59E-2</v>
      </c>
      <c r="H438" s="167">
        <v>7.0000000000000007E-2</v>
      </c>
      <c r="I438" s="218">
        <v>6.6993200000000003E-2</v>
      </c>
      <c r="J438" s="250">
        <v>6.7799999999999999E-2</v>
      </c>
      <c r="K438" s="196">
        <v>5522000</v>
      </c>
      <c r="L438" s="219">
        <v>4750000</v>
      </c>
      <c r="M438" s="172">
        <f t="shared" ref="M438:M442" si="63">IF(L438=0,0,K438/L438)</f>
        <v>1.1625263157894736</v>
      </c>
    </row>
    <row r="439" spans="1:13" ht="12.75" customHeight="1" outlineLevel="1" x14ac:dyDescent="0.2">
      <c r="A439" s="164"/>
      <c r="B439" s="158"/>
      <c r="C439" s="160"/>
      <c r="D439" s="176" t="s">
        <v>50</v>
      </c>
      <c r="E439" s="158">
        <v>46402</v>
      </c>
      <c r="F439" s="167">
        <v>0.06</v>
      </c>
      <c r="G439" s="167">
        <v>6.6299999999999998E-2</v>
      </c>
      <c r="H439" s="167">
        <v>7.0300000000000001E-2</v>
      </c>
      <c r="I439" s="198">
        <v>6.7051200000000005E-2</v>
      </c>
      <c r="J439" s="250">
        <v>6.7500000000000004E-2</v>
      </c>
      <c r="K439" s="196">
        <v>2217600</v>
      </c>
      <c r="L439" s="196">
        <v>1850000</v>
      </c>
      <c r="M439" s="172">
        <f t="shared" si="63"/>
        <v>1.1987027027027026</v>
      </c>
    </row>
    <row r="440" spans="1:13" ht="12.75" customHeight="1" outlineLevel="1" x14ac:dyDescent="0.2">
      <c r="A440" s="156"/>
      <c r="B440" s="156"/>
      <c r="C440" s="156"/>
      <c r="D440" s="2" t="s">
        <v>153</v>
      </c>
      <c r="E440" s="158">
        <v>47376</v>
      </c>
      <c r="F440" s="204">
        <v>6.6250000000000003E-2</v>
      </c>
      <c r="G440" s="167">
        <v>6.5000000000000002E-2</v>
      </c>
      <c r="H440" s="167">
        <v>7.0000000000000007E-2</v>
      </c>
      <c r="I440" s="198">
        <v>6.6117599999999999E-2</v>
      </c>
      <c r="J440" s="167">
        <v>6.7000000000000004E-2</v>
      </c>
      <c r="K440" s="196">
        <v>2368000</v>
      </c>
      <c r="L440" s="196">
        <v>850000</v>
      </c>
      <c r="M440" s="172">
        <f t="shared" si="63"/>
        <v>2.7858823529411763</v>
      </c>
    </row>
    <row r="441" spans="1:13" ht="12.75" customHeight="1" outlineLevel="1" x14ac:dyDescent="0.2">
      <c r="A441" s="156"/>
      <c r="B441" s="156"/>
      <c r="C441" s="156"/>
      <c r="D441" s="176" t="s">
        <v>147</v>
      </c>
      <c r="E441" s="158">
        <v>49749</v>
      </c>
      <c r="F441" s="167">
        <v>6.8750000000000006E-2</v>
      </c>
      <c r="G441" s="167">
        <v>6.8500000000000005E-2</v>
      </c>
      <c r="H441" s="167">
        <v>7.0900000000000005E-2</v>
      </c>
      <c r="I441" s="198">
        <v>6.9188899999999998E-2</v>
      </c>
      <c r="J441" s="198">
        <v>6.9500000000000006E-2</v>
      </c>
      <c r="K441" s="196">
        <v>2336900</v>
      </c>
      <c r="L441" s="196">
        <v>1450000</v>
      </c>
      <c r="M441" s="172">
        <f t="shared" si="63"/>
        <v>1.6116551724137931</v>
      </c>
    </row>
    <row r="442" spans="1:13" ht="12.75" customHeight="1" outlineLevel="1" x14ac:dyDescent="0.2">
      <c r="A442" s="251"/>
      <c r="B442" s="156"/>
      <c r="C442" s="252"/>
      <c r="D442" s="176" t="s">
        <v>148</v>
      </c>
      <c r="E442" s="158">
        <v>53858</v>
      </c>
      <c r="F442" s="167">
        <v>6.7500000000000004E-2</v>
      </c>
      <c r="G442" s="167">
        <v>6.88E-2</v>
      </c>
      <c r="H442" s="167">
        <v>7.1300000000000002E-2</v>
      </c>
      <c r="I442" s="198">
        <v>6.9978399999999996E-2</v>
      </c>
      <c r="J442" s="198">
        <v>7.0099999999999996E-2</v>
      </c>
      <c r="K442" s="196">
        <v>931400</v>
      </c>
      <c r="L442" s="196">
        <v>800000</v>
      </c>
      <c r="M442" s="172">
        <f t="shared" si="63"/>
        <v>1.16425</v>
      </c>
    </row>
    <row r="443" spans="1:13" s="1" customFormat="1" ht="12.75" customHeight="1" outlineLevel="1" x14ac:dyDescent="0.2">
      <c r="A443" s="417" t="s">
        <v>121</v>
      </c>
      <c r="B443" s="432"/>
      <c r="C443" s="418"/>
      <c r="D443" s="418"/>
      <c r="E443" s="418"/>
      <c r="F443" s="418"/>
      <c r="G443" s="418"/>
      <c r="H443" s="418"/>
      <c r="I443" s="418"/>
      <c r="J443" s="419"/>
      <c r="K443" s="200">
        <f>SUM(K437:K442)</f>
        <v>18590900</v>
      </c>
      <c r="L443" s="200">
        <f>SUM(L437:L442)</f>
        <v>9730000</v>
      </c>
      <c r="M443" s="357"/>
    </row>
    <row r="444" spans="1:13" ht="12" customHeight="1" outlineLevel="1" x14ac:dyDescent="0.2">
      <c r="A444" s="326">
        <v>45258</v>
      </c>
      <c r="B444" s="309">
        <v>45260</v>
      </c>
      <c r="C444" s="327" t="s">
        <v>136</v>
      </c>
      <c r="D444" s="283" t="s">
        <v>173</v>
      </c>
      <c r="E444" s="284">
        <v>45351</v>
      </c>
      <c r="F444" s="285" t="s">
        <v>128</v>
      </c>
      <c r="G444" s="341">
        <v>6.4000000000000001E-2</v>
      </c>
      <c r="H444" s="341">
        <v>6.4699999999999994E-2</v>
      </c>
      <c r="I444" s="316" t="s">
        <v>130</v>
      </c>
      <c r="J444" s="316" t="s">
        <v>130</v>
      </c>
      <c r="K444" s="347">
        <v>2215000</v>
      </c>
      <c r="L444" s="349">
        <v>0</v>
      </c>
      <c r="M444" s="352" t="s">
        <v>130</v>
      </c>
    </row>
    <row r="445" spans="1:13" ht="12" customHeight="1" outlineLevel="1" x14ac:dyDescent="0.2">
      <c r="A445" s="326"/>
      <c r="B445" s="281"/>
      <c r="C445" s="327"/>
      <c r="D445" s="283" t="s">
        <v>212</v>
      </c>
      <c r="E445" s="284">
        <v>45526</v>
      </c>
      <c r="F445" s="285" t="s">
        <v>128</v>
      </c>
      <c r="G445" s="285">
        <v>6.8000000000000005E-2</v>
      </c>
      <c r="H445" s="285">
        <v>6.9000000000000006E-2</v>
      </c>
      <c r="I445" s="341" t="s">
        <v>130</v>
      </c>
      <c r="J445" s="346" t="s">
        <v>130</v>
      </c>
      <c r="K445" s="347">
        <v>4450000</v>
      </c>
      <c r="L445" s="350">
        <v>0</v>
      </c>
      <c r="M445" s="290">
        <f>IF(L445=0,0,K444/L445)</f>
        <v>0</v>
      </c>
    </row>
    <row r="446" spans="1:13" ht="12.75" customHeight="1" outlineLevel="1" x14ac:dyDescent="0.2">
      <c r="A446" s="326"/>
      <c r="B446" s="284"/>
      <c r="C446" s="327"/>
      <c r="D446" s="283" t="s">
        <v>232</v>
      </c>
      <c r="E446" s="284">
        <v>47223</v>
      </c>
      <c r="F446" s="285">
        <v>6.8750000000000006E-2</v>
      </c>
      <c r="G446" s="285">
        <v>6.7000000000000004E-2</v>
      </c>
      <c r="H446" s="285">
        <v>7.0000000000000007E-2</v>
      </c>
      <c r="I446" s="286">
        <v>6.7399100000000003E-2</v>
      </c>
      <c r="J446" s="321">
        <v>6.7599999999999993E-2</v>
      </c>
      <c r="K446" s="347">
        <v>22916000</v>
      </c>
      <c r="L446" s="351">
        <v>11550000</v>
      </c>
      <c r="M446" s="290">
        <f>IF(L446=0,0,K446/L446)</f>
        <v>1.9840692640692641</v>
      </c>
    </row>
    <row r="447" spans="1:13" ht="12.75" customHeight="1" outlineLevel="1" x14ac:dyDescent="0.2">
      <c r="A447" s="305"/>
      <c r="B447" s="291"/>
      <c r="C447" s="306"/>
      <c r="D447" s="283" t="s">
        <v>213</v>
      </c>
      <c r="E447" s="284">
        <v>48990</v>
      </c>
      <c r="F447" s="285">
        <v>6.6250000000000003E-2</v>
      </c>
      <c r="G447" s="285">
        <v>6.7199999999999996E-2</v>
      </c>
      <c r="H447" s="285">
        <v>7.0000000000000007E-2</v>
      </c>
      <c r="I447" s="324">
        <v>6.7498500000000003E-2</v>
      </c>
      <c r="J447" s="325">
        <v>6.7699999999999996E-2</v>
      </c>
      <c r="K447" s="347">
        <v>9853200</v>
      </c>
      <c r="L447" s="350">
        <v>3400000</v>
      </c>
      <c r="M447" s="290">
        <f>IF(L447=0,0,K447/L447)</f>
        <v>2.8980000000000001</v>
      </c>
    </row>
    <row r="448" spans="1:13" ht="12.75" customHeight="1" outlineLevel="1" x14ac:dyDescent="0.2">
      <c r="A448" s="305"/>
      <c r="B448" s="291"/>
      <c r="C448" s="306"/>
      <c r="D448" s="283" t="s">
        <v>142</v>
      </c>
      <c r="E448" s="284">
        <v>50571</v>
      </c>
      <c r="F448" s="285">
        <v>7.1249999999999994E-2</v>
      </c>
      <c r="G448" s="285">
        <v>6.8699999999999997E-2</v>
      </c>
      <c r="H448" s="285">
        <v>7.1999999999999995E-2</v>
      </c>
      <c r="I448" s="286">
        <v>6.8998100000000007E-2</v>
      </c>
      <c r="J448" s="321">
        <v>6.9199999999999998E-2</v>
      </c>
      <c r="K448" s="347">
        <v>4815500</v>
      </c>
      <c r="L448" s="351">
        <v>1950000</v>
      </c>
      <c r="M448" s="290">
        <f>IF(L448=0,0,K448/L448)</f>
        <v>2.4694871794871793</v>
      </c>
    </row>
    <row r="449" spans="1:13" ht="12.75" customHeight="1" outlineLevel="1" x14ac:dyDescent="0.2">
      <c r="A449" s="305"/>
      <c r="B449" s="291"/>
      <c r="C449" s="306"/>
      <c r="D449" s="283" t="s">
        <v>141</v>
      </c>
      <c r="E449" s="284">
        <v>52397</v>
      </c>
      <c r="F449" s="285">
        <v>7.1249999999999994E-2</v>
      </c>
      <c r="G449" s="285">
        <v>6.9199999999999998E-2</v>
      </c>
      <c r="H449" s="285">
        <v>7.1400000000000005E-2</v>
      </c>
      <c r="I449" s="286">
        <v>6.9858500000000004E-2</v>
      </c>
      <c r="J449" s="324">
        <v>7.0000000000000007E-2</v>
      </c>
      <c r="K449" s="348">
        <v>2552600</v>
      </c>
      <c r="L449" s="351">
        <v>1200000</v>
      </c>
      <c r="M449" s="290">
        <f>IF(L449=0,0,K449/L449)</f>
        <v>2.1271666666666667</v>
      </c>
    </row>
    <row r="450" spans="1:13" ht="12.75" customHeight="1" outlineLevel="1" x14ac:dyDescent="0.2">
      <c r="A450" s="305"/>
      <c r="B450" s="328"/>
      <c r="C450" s="306"/>
      <c r="D450" s="283" t="s">
        <v>137</v>
      </c>
      <c r="E450" s="284">
        <v>55380</v>
      </c>
      <c r="F450" s="285">
        <v>6.8750000000000006E-2</v>
      </c>
      <c r="G450" s="285">
        <v>6.9199999999999998E-2</v>
      </c>
      <c r="H450" s="285">
        <v>7.17E-2</v>
      </c>
      <c r="I450" s="325">
        <v>6.9913100000000006E-2</v>
      </c>
      <c r="J450" s="324">
        <v>7.0300000000000001E-2</v>
      </c>
      <c r="K450" s="348">
        <v>1911600</v>
      </c>
      <c r="L450" s="350">
        <v>1050000</v>
      </c>
      <c r="M450" s="332">
        <f>IF(L450=0,0,K450/L450)</f>
        <v>1.8205714285714285</v>
      </c>
    </row>
    <row r="451" spans="1:13" s="1" customFormat="1" ht="12.75" customHeight="1" outlineLevel="1" x14ac:dyDescent="0.2">
      <c r="A451" s="398" t="s">
        <v>121</v>
      </c>
      <c r="B451" s="399"/>
      <c r="C451" s="400"/>
      <c r="D451" s="400"/>
      <c r="E451" s="400"/>
      <c r="F451" s="400"/>
      <c r="G451" s="400"/>
      <c r="H451" s="400"/>
      <c r="I451" s="400"/>
      <c r="J451" s="401"/>
      <c r="K451" s="294">
        <f>SUM(K444:K450)</f>
        <v>48713900</v>
      </c>
      <c r="L451" s="294">
        <f>SUM(L444:L450)</f>
        <v>19150000</v>
      </c>
      <c r="M451" s="308"/>
    </row>
    <row r="452" spans="1:13" ht="12.75" customHeight="1" x14ac:dyDescent="0.2">
      <c r="A452" s="402" t="s">
        <v>231</v>
      </c>
      <c r="B452" s="403"/>
      <c r="C452" s="403"/>
      <c r="D452" s="403"/>
      <c r="E452" s="403"/>
      <c r="F452" s="403"/>
      <c r="G452" s="403"/>
      <c r="H452" s="403"/>
      <c r="I452" s="403"/>
      <c r="J452" s="404"/>
      <c r="K452" s="177">
        <f>K413+K416+K423+K431+K443+K436+K451</f>
        <v>198624556</v>
      </c>
      <c r="L452" s="177">
        <f>L413+L416+L423+L431+L443+L436+L451</f>
        <v>115327656</v>
      </c>
      <c r="M452" s="166"/>
    </row>
    <row r="453" spans="1:13" ht="12.75" customHeight="1" x14ac:dyDescent="0.2">
      <c r="A453" s="402" t="s">
        <v>247</v>
      </c>
      <c r="B453" s="403"/>
      <c r="C453" s="403"/>
      <c r="D453" s="403"/>
      <c r="E453" s="403"/>
      <c r="F453" s="403"/>
      <c r="G453" s="403"/>
      <c r="H453" s="403"/>
      <c r="I453" s="403"/>
      <c r="J453" s="404"/>
      <c r="K453" s="177">
        <f>K404+K452</f>
        <v>1812100614.694</v>
      </c>
      <c r="L453" s="177">
        <f>L404+L452</f>
        <v>787224014.69400001</v>
      </c>
      <c r="M453" s="166"/>
    </row>
    <row r="454" spans="1:13" ht="12.75" customHeight="1" x14ac:dyDescent="0.2">
      <c r="A454" s="205">
        <v>45271</v>
      </c>
      <c r="B454" s="205">
        <v>45273</v>
      </c>
      <c r="C454" s="206" t="s">
        <v>158</v>
      </c>
      <c r="D454" s="207" t="s">
        <v>245</v>
      </c>
      <c r="E454" s="225">
        <v>45971</v>
      </c>
      <c r="F454" s="224">
        <v>6.3E-2</v>
      </c>
      <c r="G454" s="226"/>
      <c r="H454" s="208"/>
      <c r="I454" s="209"/>
      <c r="J454" s="209"/>
      <c r="K454" s="237">
        <v>14523657</v>
      </c>
      <c r="L454" s="237">
        <v>14523657</v>
      </c>
      <c r="M454" s="210"/>
    </row>
    <row r="455" spans="1:13" ht="12.75" customHeight="1" x14ac:dyDescent="0.2">
      <c r="A455" s="254"/>
      <c r="B455" s="256"/>
      <c r="C455" s="255"/>
      <c r="D455" s="207" t="s">
        <v>246</v>
      </c>
      <c r="E455" s="225">
        <v>46701</v>
      </c>
      <c r="F455" s="224">
        <v>6.5000000000000002E-2</v>
      </c>
      <c r="G455" s="226"/>
      <c r="H455" s="208"/>
      <c r="I455" s="209"/>
      <c r="J455" s="209"/>
      <c r="K455" s="237">
        <v>5501500</v>
      </c>
      <c r="L455" s="237">
        <v>5501500</v>
      </c>
      <c r="M455" s="168"/>
    </row>
    <row r="456" spans="1:13" ht="12" customHeight="1" x14ac:dyDescent="0.2">
      <c r="A456" s="405" t="s">
        <v>121</v>
      </c>
      <c r="B456" s="406"/>
      <c r="C456" s="407"/>
      <c r="D456" s="407"/>
      <c r="E456" s="407"/>
      <c r="F456" s="407"/>
      <c r="G456" s="407"/>
      <c r="H456" s="407"/>
      <c r="I456" s="407"/>
      <c r="J456" s="408"/>
      <c r="K456" s="220">
        <f>SUM(K454:K455)</f>
        <v>20025157</v>
      </c>
      <c r="L456" s="220">
        <f>SUM(L454:L455)</f>
        <v>20025157</v>
      </c>
      <c r="M456" s="270"/>
    </row>
    <row r="457" spans="1:13" ht="12.75" customHeight="1" x14ac:dyDescent="0.2">
      <c r="A457" s="402" t="s">
        <v>243</v>
      </c>
      <c r="B457" s="403"/>
      <c r="C457" s="403"/>
      <c r="D457" s="403"/>
      <c r="E457" s="403"/>
      <c r="F457" s="403"/>
      <c r="G457" s="403"/>
      <c r="H457" s="403"/>
      <c r="I457" s="403"/>
      <c r="J457" s="404"/>
      <c r="K457" s="177">
        <f>SUM(K456)</f>
        <v>20025157</v>
      </c>
      <c r="L457" s="177">
        <f>SUM(L456)</f>
        <v>20025157</v>
      </c>
      <c r="M457" s="166"/>
    </row>
    <row r="458" spans="1:13" ht="12.75" customHeight="1" x14ac:dyDescent="0.2">
      <c r="A458" s="402" t="s">
        <v>267</v>
      </c>
      <c r="B458" s="403"/>
      <c r="C458" s="403"/>
      <c r="D458" s="403"/>
      <c r="E458" s="403"/>
      <c r="F458" s="403"/>
      <c r="G458" s="403"/>
      <c r="H458" s="403"/>
      <c r="I458" s="403"/>
      <c r="J458" s="404"/>
      <c r="K458" s="177">
        <f>K453+K457</f>
        <v>1832125771.694</v>
      </c>
      <c r="L458" s="177">
        <f>L453+L457</f>
        <v>807249171.69400001</v>
      </c>
      <c r="M458" s="166"/>
    </row>
  </sheetData>
  <mergeCells count="98">
    <mergeCell ref="A203:J203"/>
    <mergeCell ref="A291:J291"/>
    <mergeCell ref="A283:J283"/>
    <mergeCell ref="A260:J260"/>
    <mergeCell ref="A284:J284"/>
    <mergeCell ref="A271:J271"/>
    <mergeCell ref="A264:J264"/>
    <mergeCell ref="A360:J360"/>
    <mergeCell ref="A309:J309"/>
    <mergeCell ref="A326:J326"/>
    <mergeCell ref="A319:J319"/>
    <mergeCell ref="A317:J317"/>
    <mergeCell ref="A327:J327"/>
    <mergeCell ref="A328:J328"/>
    <mergeCell ref="A345:J345"/>
    <mergeCell ref="A353:J353"/>
    <mergeCell ref="A330:J330"/>
    <mergeCell ref="A338:J338"/>
    <mergeCell ref="A368:J368"/>
    <mergeCell ref="A369:J369"/>
    <mergeCell ref="A367:J367"/>
    <mergeCell ref="A134:J134"/>
    <mergeCell ref="A141:J141"/>
    <mergeCell ref="A115:J115"/>
    <mergeCell ref="A458:J458"/>
    <mergeCell ref="A377:J377"/>
    <mergeCell ref="A403:J403"/>
    <mergeCell ref="A404:J404"/>
    <mergeCell ref="A384:J384"/>
    <mergeCell ref="A395:J395"/>
    <mergeCell ref="A416:J416"/>
    <mergeCell ref="A423:J423"/>
    <mergeCell ref="A402:J402"/>
    <mergeCell ref="A431:J431"/>
    <mergeCell ref="A443:J443"/>
    <mergeCell ref="A451:J451"/>
    <mergeCell ref="A436:J436"/>
    <mergeCell ref="A453:J453"/>
    <mergeCell ref="A457:J457"/>
    <mergeCell ref="A452:J452"/>
    <mergeCell ref="A456:J456"/>
    <mergeCell ref="A387:J387"/>
    <mergeCell ref="A413:J413"/>
    <mergeCell ref="A154:J154"/>
    <mergeCell ref="A202:J202"/>
    <mergeCell ref="L2:M2"/>
    <mergeCell ref="A49:J49"/>
    <mergeCell ref="A50:J50"/>
    <mergeCell ref="A13:J13"/>
    <mergeCell ref="A27:J27"/>
    <mergeCell ref="A29:J29"/>
    <mergeCell ref="A37:J37"/>
    <mergeCell ref="A44:J44"/>
    <mergeCell ref="A20:J20"/>
    <mergeCell ref="A48:J48"/>
    <mergeCell ref="A5:J5"/>
    <mergeCell ref="A144:J144"/>
    <mergeCell ref="A184:J184"/>
    <mergeCell ref="A163:J163"/>
    <mergeCell ref="A156:J156"/>
    <mergeCell ref="A155:J155"/>
    <mergeCell ref="A152:J152"/>
    <mergeCell ref="A171:J171"/>
    <mergeCell ref="A175:J175"/>
    <mergeCell ref="A111:J111"/>
    <mergeCell ref="A122:J122"/>
    <mergeCell ref="A130:J130"/>
    <mergeCell ref="A182:J182"/>
    <mergeCell ref="A274:J274"/>
    <mergeCell ref="A245:J245"/>
    <mergeCell ref="A233:J233"/>
    <mergeCell ref="A252:J252"/>
    <mergeCell ref="A214:J214"/>
    <mergeCell ref="A235:J235"/>
    <mergeCell ref="A193:J193"/>
    <mergeCell ref="A59:J59"/>
    <mergeCell ref="A87:J87"/>
    <mergeCell ref="A88:J88"/>
    <mergeCell ref="A103:J103"/>
    <mergeCell ref="A243:J243"/>
    <mergeCell ref="A232:J232"/>
    <mergeCell ref="A66:J66"/>
    <mergeCell ref="A77:J77"/>
    <mergeCell ref="A84:J84"/>
    <mergeCell ref="A96:J96"/>
    <mergeCell ref="A86:J86"/>
    <mergeCell ref="A69:J69"/>
    <mergeCell ref="A131:J131"/>
    <mergeCell ref="A132:J132"/>
    <mergeCell ref="A211:J211"/>
    <mergeCell ref="A231:J231"/>
    <mergeCell ref="A300:J300"/>
    <mergeCell ref="A302:J302"/>
    <mergeCell ref="A204:J204"/>
    <mergeCell ref="A224:J224"/>
    <mergeCell ref="A216:J216"/>
    <mergeCell ref="A356:J356"/>
    <mergeCell ref="A282:J282"/>
  </mergeCells>
  <phoneticPr fontId="0" type="noConversion"/>
  <printOptions horizontalCentered="1"/>
  <pageMargins left="0" right="0" top="0.39370078740157499" bottom="0" header="0.15748031496063" footer="0.196850393700787"/>
  <pageSetup paperSize="9" scale="41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P7"/>
  <sheetViews>
    <sheetView workbookViewId="0">
      <selection activeCell="K3" sqref="K3:L7"/>
    </sheetView>
  </sheetViews>
  <sheetFormatPr defaultColWidth="8.85546875" defaultRowHeight="12.75" x14ac:dyDescent="0.2"/>
  <cols>
    <col min="4" max="4" width="12.7109375" bestFit="1" customWidth="1"/>
    <col min="5" max="5" width="9.7109375" bestFit="1" customWidth="1"/>
    <col min="6" max="12" width="6.28515625" bestFit="1" customWidth="1"/>
    <col min="13" max="13" width="17.42578125" bestFit="1" customWidth="1"/>
    <col min="14" max="16" width="16.42578125" bestFit="1" customWidth="1"/>
  </cols>
  <sheetData>
    <row r="3" spans="2:16" x14ac:dyDescent="0.2">
      <c r="B3" s="169">
        <v>43053</v>
      </c>
      <c r="C3" s="169">
        <v>43055</v>
      </c>
      <c r="D3" t="s">
        <v>132</v>
      </c>
      <c r="E3" s="169">
        <v>43146</v>
      </c>
      <c r="F3" t="s">
        <v>130</v>
      </c>
      <c r="G3" s="170">
        <v>4.7500000000000001E-2</v>
      </c>
      <c r="H3" s="170">
        <v>4.87813E-2</v>
      </c>
      <c r="I3" s="170">
        <v>5.1999999999999998E-2</v>
      </c>
      <c r="J3" s="170">
        <v>4.7500000000000001E-2</v>
      </c>
      <c r="K3" s="170">
        <v>4.8269199999999998E-2</v>
      </c>
      <c r="L3" s="170">
        <v>4.8800000000000003E-2</v>
      </c>
      <c r="M3" s="171">
        <v>15000000000000</v>
      </c>
      <c r="N3" s="171">
        <v>3900000000000</v>
      </c>
      <c r="O3" s="171">
        <v>2600000000000</v>
      </c>
      <c r="P3" s="171">
        <v>2600000000000</v>
      </c>
    </row>
    <row r="4" spans="2:16" x14ac:dyDescent="0.2">
      <c r="C4" s="169">
        <v>43055</v>
      </c>
      <c r="D4" t="s">
        <v>133</v>
      </c>
      <c r="E4" s="169">
        <v>43419</v>
      </c>
      <c r="F4" t="s">
        <v>130</v>
      </c>
      <c r="G4" s="170">
        <v>5.1900000000000002E-2</v>
      </c>
      <c r="H4" s="170">
        <v>5.3297200000000003E-2</v>
      </c>
      <c r="I4" s="170">
        <v>5.5500000000000001E-2</v>
      </c>
      <c r="J4" s="170">
        <v>5.1900000000000002E-2</v>
      </c>
      <c r="K4" s="170">
        <v>5.253E-2</v>
      </c>
      <c r="L4" s="170">
        <v>5.3199999999999997E-2</v>
      </c>
      <c r="N4" s="171">
        <v>6000000000000</v>
      </c>
      <c r="O4" s="171">
        <v>5200000000000</v>
      </c>
      <c r="P4" s="171">
        <v>3000000000000</v>
      </c>
    </row>
    <row r="5" spans="2:16" x14ac:dyDescent="0.2">
      <c r="C5" s="169">
        <v>43055</v>
      </c>
      <c r="D5" t="s">
        <v>35</v>
      </c>
      <c r="E5" s="169">
        <v>44696</v>
      </c>
      <c r="F5" s="170">
        <v>7.0000000000000007E-2</v>
      </c>
      <c r="G5" s="170">
        <v>6.2700000000000006E-2</v>
      </c>
      <c r="H5" s="170">
        <v>6.3400300000000007E-2</v>
      </c>
      <c r="I5" s="170">
        <v>6.5000000000000002E-2</v>
      </c>
      <c r="J5" s="170">
        <v>6.2700000000000006E-2</v>
      </c>
      <c r="K5" s="170">
        <v>6.2915700000000005E-2</v>
      </c>
      <c r="L5" s="170">
        <v>6.3E-2</v>
      </c>
      <c r="N5" s="171">
        <v>9775500000000</v>
      </c>
      <c r="O5" s="171">
        <v>4250000000000</v>
      </c>
      <c r="P5" s="171">
        <v>2800000000000</v>
      </c>
    </row>
    <row r="6" spans="2:16" x14ac:dyDescent="0.2">
      <c r="C6" s="169">
        <v>43055</v>
      </c>
      <c r="D6" t="s">
        <v>43</v>
      </c>
      <c r="E6" s="169">
        <v>46522</v>
      </c>
      <c r="F6" s="170">
        <v>7.0000000000000007E-2</v>
      </c>
      <c r="G6" s="170">
        <v>6.5699999999999995E-2</v>
      </c>
      <c r="H6" s="170">
        <v>6.6803500000000002E-2</v>
      </c>
      <c r="I6" s="170">
        <v>6.8599999999999994E-2</v>
      </c>
      <c r="J6" s="170">
        <v>6.5699999999999995E-2</v>
      </c>
      <c r="K6" s="170">
        <v>6.6193399999999999E-2</v>
      </c>
      <c r="L6" s="170">
        <v>6.6500000000000004E-2</v>
      </c>
      <c r="N6" s="171">
        <v>9487500000000</v>
      </c>
      <c r="O6" s="171">
        <v>7150000000000</v>
      </c>
      <c r="P6" s="171">
        <v>4550000000000</v>
      </c>
    </row>
    <row r="7" spans="2:16" x14ac:dyDescent="0.2">
      <c r="C7" s="169">
        <v>43055</v>
      </c>
      <c r="D7" t="s">
        <v>131</v>
      </c>
      <c r="E7" s="169">
        <v>50540</v>
      </c>
      <c r="F7" s="170">
        <v>7.4999999999999997E-2</v>
      </c>
      <c r="G7" s="170">
        <v>7.2400000000000006E-2</v>
      </c>
      <c r="H7" s="170">
        <v>7.2925400000000001E-2</v>
      </c>
      <c r="I7" s="170">
        <v>7.4499999999999997E-2</v>
      </c>
      <c r="J7" s="170">
        <v>7.2400000000000006E-2</v>
      </c>
      <c r="K7" s="170">
        <v>7.2629799999999994E-2</v>
      </c>
      <c r="L7" s="170">
        <v>7.2999999999999995E-2</v>
      </c>
      <c r="N7" s="171">
        <v>9760500000000</v>
      </c>
      <c r="O7" s="171">
        <v>7300000000000</v>
      </c>
      <c r="P7" s="171">
        <v>6450000000000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Contoh_SBN</vt:lpstr>
      <vt:lpstr>SBN</vt:lpstr>
      <vt:lpstr>Sheet1</vt:lpstr>
      <vt:lpstr>Contoh_SBN!Print_Area</vt:lpstr>
      <vt:lpstr>Contoh_SBN!Print_Titles</vt:lpstr>
      <vt:lpstr>SBN!Print_Titles</vt:lpstr>
    </vt:vector>
  </TitlesOfParts>
  <Company>dmo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DMO</dc:creator>
  <cp:lastModifiedBy>Advianto Maringgih</cp:lastModifiedBy>
  <cp:lastPrinted>2020-03-18T18:47:42Z</cp:lastPrinted>
  <dcterms:created xsi:type="dcterms:W3CDTF">2010-01-14T01:56:27Z</dcterms:created>
  <dcterms:modified xsi:type="dcterms:W3CDTF">2024-01-03T03:22:23Z</dcterms:modified>
</cp:coreProperties>
</file>