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kemenkeu-my.sharepoint.com/personal/advianto_maringgih_kemenkeu_go_id/Documents/Back Up Download/2025/3. Maret/"/>
    </mc:Choice>
  </mc:AlternateContent>
  <xr:revisionPtr revIDLastSave="14" documentId="8_{1E6A9033-5A37-47B5-BF5C-226F0D0A7244}" xr6:coauthVersionLast="47" xr6:coauthVersionMax="47" xr10:uidLastSave="{470D05A2-B508-4F85-B418-7D400682EA1E}"/>
  <bookViews>
    <workbookView xWindow="-120" yWindow="-120" windowWidth="20730" windowHeight="11040" tabRatio="715" firstSheet="1" activeTab="1" xr2:uid="{00000000-000D-0000-FFFF-FFFF00000000}"/>
  </bookViews>
  <sheets>
    <sheet name="Contoh_SBN" sheetId="5" state="hidden" r:id="rId1"/>
    <sheet name="SBN" sheetId="1" r:id="rId2"/>
    <sheet name="Sheet1" sheetId="6" state="hidden" r:id="rId3"/>
  </sheets>
  <externalReferences>
    <externalReference r:id="rId4"/>
    <externalReference r:id="rId5"/>
    <externalReference r:id="rId6"/>
  </externalReferences>
  <definedNames>
    <definedName name="aa">#REF!</definedName>
    <definedName name="abc">[1]SummBB!#REF!</definedName>
    <definedName name="abcd">#REF!</definedName>
    <definedName name="ac">#REF!</definedName>
    <definedName name="ad">#REF!</definedName>
    <definedName name="ak">#REF!</definedName>
    <definedName name="am">#REF!</definedName>
    <definedName name="as">#REF!</definedName>
    <definedName name="az">#REF!</definedName>
    <definedName name="Bondata">'[2]Bond Data'!$A$4:$C$28</definedName>
    <definedName name="BondData">'[3]Bond Data'!$A$4:$C$28</definedName>
    <definedName name="hg">#REF!</definedName>
    <definedName name="k">[1]SummBB!#REF!</definedName>
    <definedName name="ki">#REF!</definedName>
    <definedName name="kl">#REF!</definedName>
    <definedName name="ni">#REF!</definedName>
    <definedName name="oi">#REF!</definedName>
    <definedName name="oke">#REF!</definedName>
    <definedName name="ol">#REF!</definedName>
    <definedName name="pp">[1]SummBB!#REF!</definedName>
    <definedName name="_xlnm.Print_Area" localSheetId="0">Contoh_SBN!$A$1:$Q$250</definedName>
    <definedName name="_xlnm.Print_Titles" localSheetId="0">Contoh_SBN!$1:$3</definedName>
    <definedName name="_xlnm.Print_Titles" localSheetId="1">SBN!$1:$3</definedName>
    <definedName name="Skenario_2_a_L" localSheetId="0">[1]SummBB!#REF!</definedName>
    <definedName name="Skenario_2_a_L">[1]SummBB!#REF!</definedName>
    <definedName name="Skenario_2_a_P" localSheetId="0">[1]SummBB!#REF!</definedName>
    <definedName name="Skenario_2_a_P">[1]SummBB!#REF!</definedName>
    <definedName name="th_2003" localSheetId="0">#REF!</definedName>
    <definedName name="th_2003">#REF!</definedName>
    <definedName name="th_2004" localSheetId="0">#REF!</definedName>
    <definedName name="th_2004">#REF!</definedName>
    <definedName name="th_2005" localSheetId="0">#REF!</definedName>
    <definedName name="th_2005">#REF!</definedName>
    <definedName name="th_2006" localSheetId="0">#REF!</definedName>
    <definedName name="th_2006">#REF!</definedName>
    <definedName name="u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0" i="1" l="1"/>
  <c r="K120" i="1"/>
  <c r="K111" i="1"/>
  <c r="L110" i="1"/>
  <c r="M110" i="1" s="1"/>
  <c r="L109" i="1"/>
  <c r="L111" i="1" l="1"/>
  <c r="M109" i="1"/>
  <c r="L130" i="1" l="1"/>
  <c r="L131" i="1" s="1"/>
  <c r="K131" i="1"/>
  <c r="K130" i="1"/>
  <c r="M129" i="1"/>
  <c r="M128" i="1"/>
  <c r="M127" i="1"/>
  <c r="M126" i="1"/>
  <c r="M125" i="1"/>
  <c r="M124" i="1"/>
  <c r="M123" i="1"/>
  <c r="M122" i="1"/>
  <c r="L119" i="1"/>
  <c r="K119" i="1"/>
  <c r="M118" i="1"/>
  <c r="M117" i="1"/>
  <c r="M116" i="1"/>
  <c r="M115" i="1"/>
  <c r="M114" i="1"/>
  <c r="M113" i="1"/>
  <c r="M112" i="1"/>
  <c r="L108" i="1" l="1"/>
  <c r="K108" i="1"/>
  <c r="M107" i="1"/>
  <c r="M106" i="1"/>
  <c r="M105" i="1"/>
  <c r="M104" i="1"/>
  <c r="M103" i="1"/>
  <c r="M102" i="1"/>
  <c r="M101" i="1"/>
  <c r="M100" i="1"/>
  <c r="L99" i="1"/>
  <c r="K99" i="1"/>
  <c r="M98" i="1"/>
  <c r="M97" i="1"/>
  <c r="M96" i="1"/>
  <c r="M95" i="1"/>
  <c r="M94" i="1"/>
  <c r="M93" i="1"/>
  <c r="M92" i="1"/>
  <c r="K54" i="1"/>
  <c r="K50" i="1"/>
  <c r="L50" i="1" s="1"/>
  <c r="L91" i="1"/>
  <c r="K91" i="1"/>
  <c r="M90" i="1"/>
  <c r="M89" i="1"/>
  <c r="M88" i="1"/>
  <c r="M87" i="1"/>
  <c r="M86" i="1"/>
  <c r="M85" i="1"/>
  <c r="M84" i="1"/>
  <c r="M83" i="1"/>
  <c r="L82" i="1"/>
  <c r="K82" i="1"/>
  <c r="M81" i="1"/>
  <c r="M80" i="1"/>
  <c r="M79" i="1"/>
  <c r="M78" i="1"/>
  <c r="M77" i="1"/>
  <c r="M76" i="1"/>
  <c r="M75" i="1"/>
  <c r="K52" i="1"/>
  <c r="L52" i="1" s="1"/>
  <c r="K48" i="1"/>
  <c r="L48" i="1" s="1"/>
  <c r="L53" i="1"/>
  <c r="L51" i="1"/>
  <c r="L49" i="1"/>
  <c r="L47" i="1"/>
  <c r="K55" i="1" l="1"/>
  <c r="L54" i="1"/>
  <c r="L55" i="1" s="1"/>
  <c r="L72" i="1"/>
  <c r="K72" i="1"/>
  <c r="M71" i="1"/>
  <c r="M70" i="1"/>
  <c r="M69" i="1"/>
  <c r="M68" i="1"/>
  <c r="M67" i="1"/>
  <c r="M66" i="1"/>
  <c r="M65" i="1"/>
  <c r="M64" i="1"/>
  <c r="M62" i="1"/>
  <c r="M61" i="1"/>
  <c r="M60" i="1"/>
  <c r="M59" i="1"/>
  <c r="M58" i="1"/>
  <c r="M56" i="1"/>
  <c r="L63" i="1"/>
  <c r="K63" i="1"/>
  <c r="M57" i="1"/>
  <c r="K46" i="1"/>
  <c r="L46" i="1"/>
  <c r="M44" i="1"/>
  <c r="M43" i="1"/>
  <c r="M42" i="1"/>
  <c r="M41" i="1"/>
  <c r="M40" i="1"/>
  <c r="M39" i="1"/>
  <c r="M38" i="1"/>
  <c r="K37" i="1"/>
  <c r="L36" i="1"/>
  <c r="L37" i="1" s="1"/>
  <c r="L27" i="1"/>
  <c r="K27" i="1"/>
  <c r="M26" i="1"/>
  <c r="M25" i="1"/>
  <c r="M24" i="1"/>
  <c r="M23" i="1"/>
  <c r="M22" i="1"/>
  <c r="M21" i="1"/>
  <c r="M20" i="1"/>
  <c r="M19" i="1"/>
  <c r="M45" i="1" l="1"/>
  <c r="M36" i="1"/>
  <c r="L10" i="1" l="1"/>
  <c r="K10" i="1"/>
  <c r="M9" i="1"/>
  <c r="M7" i="1"/>
  <c r="M5" i="1"/>
  <c r="L35" i="1" l="1"/>
  <c r="M34" i="1"/>
  <c r="K35" i="1"/>
  <c r="M33" i="1" l="1"/>
  <c r="M32" i="1"/>
  <c r="M31" i="1"/>
  <c r="M29" i="1"/>
  <c r="L18" i="1"/>
  <c r="L73" i="1" s="1"/>
  <c r="K18" i="1"/>
  <c r="K73" i="1" s="1"/>
  <c r="M17" i="1"/>
  <c r="M15" i="1"/>
  <c r="M14" i="1"/>
  <c r="M13" i="1"/>
  <c r="M12" i="1"/>
  <c r="M11" i="1"/>
  <c r="K74" i="1" l="1"/>
  <c r="K121" i="1" s="1"/>
  <c r="K132" i="1" s="1"/>
  <c r="L74" i="1"/>
  <c r="L121" i="1" s="1"/>
  <c r="L132" i="1" s="1"/>
  <c r="L249" i="5"/>
  <c r="O234" i="5" l="1"/>
  <c r="N234" i="5"/>
  <c r="M234" i="5"/>
  <c r="O232" i="5"/>
  <c r="N232" i="5"/>
  <c r="M232" i="5"/>
  <c r="O231" i="5"/>
  <c r="N231" i="5"/>
  <c r="M231" i="5"/>
  <c r="O230" i="5"/>
  <c r="N230" i="5"/>
  <c r="M230" i="5"/>
  <c r="O229" i="5"/>
  <c r="N229" i="5"/>
  <c r="M229" i="5"/>
  <c r="O225" i="5"/>
  <c r="N225" i="5"/>
  <c r="M225" i="5"/>
  <c r="O224" i="5"/>
  <c r="N224" i="5"/>
  <c r="M224" i="5"/>
  <c r="O222" i="5"/>
  <c r="N222" i="5"/>
  <c r="M222" i="5"/>
  <c r="L217" i="5"/>
  <c r="P216" i="5"/>
  <c r="P215" i="5"/>
  <c r="O214" i="5"/>
  <c r="N214" i="5"/>
  <c r="M214" i="5"/>
  <c r="O212" i="5"/>
  <c r="N212" i="5"/>
  <c r="M212" i="5"/>
  <c r="P210" i="5"/>
  <c r="P209" i="5"/>
  <c r="P208" i="5"/>
  <c r="P207" i="5"/>
  <c r="P206" i="5"/>
  <c r="R205" i="5"/>
  <c r="P205" i="5"/>
  <c r="O228" i="5" l="1"/>
  <c r="N228" i="5" s="1"/>
  <c r="M228" i="5" s="1"/>
  <c r="O227" i="5" s="1"/>
  <c r="N227" i="5" s="1"/>
  <c r="M227" i="5" s="1"/>
  <c r="R204" i="5"/>
  <c r="P202" i="5"/>
  <c r="P200" i="5"/>
  <c r="P199" i="5"/>
  <c r="P198" i="5"/>
  <c r="P197" i="5"/>
  <c r="R196" i="5"/>
  <c r="P196" i="5"/>
  <c r="R195" i="5"/>
  <c r="P192" i="5"/>
  <c r="P191" i="5"/>
  <c r="B191" i="5"/>
  <c r="P190" i="5"/>
  <c r="P189" i="5"/>
  <c r="P188" i="5"/>
  <c r="P187" i="5"/>
  <c r="P186" i="5"/>
  <c r="R185" i="5"/>
  <c r="P185" i="5"/>
  <c r="R184" i="5"/>
  <c r="P182" i="5"/>
  <c r="P181" i="5"/>
  <c r="P180" i="5"/>
  <c r="P179" i="5"/>
  <c r="P178" i="5"/>
  <c r="P177" i="5"/>
  <c r="B177" i="5"/>
  <c r="R176" i="5"/>
  <c r="R175" i="5"/>
  <c r="P170" i="5"/>
  <c r="P169" i="5"/>
  <c r="P168" i="5"/>
  <c r="P167" i="5"/>
  <c r="R166" i="5"/>
  <c r="P166" i="5"/>
  <c r="R165" i="5"/>
  <c r="P164" i="5"/>
  <c r="P163" i="5"/>
  <c r="P160" i="5"/>
  <c r="P158" i="5"/>
  <c r="P157" i="5"/>
  <c r="P155" i="5"/>
  <c r="P154" i="5"/>
  <c r="P153" i="5"/>
  <c r="P152" i="5"/>
  <c r="R151" i="5"/>
  <c r="P151" i="5"/>
  <c r="R150" i="5"/>
  <c r="P148" i="5"/>
  <c r="R146" i="5"/>
  <c r="P146" i="5"/>
  <c r="R145" i="5"/>
  <c r="P141" i="5"/>
  <c r="P140" i="5"/>
  <c r="P139" i="5"/>
  <c r="P138" i="5"/>
  <c r="P137" i="5"/>
  <c r="R136" i="5"/>
  <c r="R135" i="5"/>
  <c r="P131" i="5"/>
  <c r="P130" i="5"/>
  <c r="P129" i="5"/>
  <c r="P128" i="5"/>
  <c r="P127" i="5"/>
  <c r="P126" i="5"/>
  <c r="R125" i="5"/>
  <c r="R124" i="5"/>
  <c r="P122" i="5"/>
  <c r="P121" i="5"/>
  <c r="P120" i="5"/>
  <c r="P119" i="5"/>
  <c r="P118" i="5"/>
  <c r="P117" i="5"/>
  <c r="R116" i="5"/>
  <c r="R115" i="5"/>
  <c r="R114" i="5"/>
  <c r="P113" i="5"/>
  <c r="P111" i="5"/>
  <c r="P110" i="5"/>
  <c r="P109" i="5"/>
  <c r="P108" i="5"/>
  <c r="P107" i="5"/>
  <c r="R106" i="5"/>
  <c r="R105" i="5"/>
  <c r="P101" i="5"/>
  <c r="P100" i="5"/>
  <c r="P97" i="5"/>
  <c r="R96" i="5"/>
  <c r="R95" i="5"/>
  <c r="P95" i="5"/>
  <c r="R94" i="5"/>
  <c r="P94" i="5"/>
  <c r="P92" i="5"/>
  <c r="P91" i="5"/>
  <c r="P90" i="5"/>
  <c r="P89" i="5"/>
  <c r="P88" i="5"/>
  <c r="P87" i="5"/>
  <c r="P86" i="5"/>
  <c r="R85" i="5"/>
  <c r="P85" i="5"/>
  <c r="R84" i="5"/>
  <c r="P84" i="5"/>
  <c r="R83" i="5"/>
  <c r="P83" i="5"/>
  <c r="P82" i="5"/>
  <c r="W80" i="5"/>
  <c r="V80" i="5"/>
  <c r="U80" i="5"/>
  <c r="W78" i="5"/>
  <c r="V78" i="5"/>
  <c r="U78" i="5"/>
  <c r="P74" i="5"/>
  <c r="P73" i="5"/>
  <c r="R72" i="5"/>
  <c r="P72" i="5"/>
  <c r="R71" i="5"/>
  <c r="P71" i="5"/>
  <c r="R70" i="5"/>
  <c r="P70" i="5"/>
  <c r="P69" i="5"/>
  <c r="P68" i="5"/>
  <c r="R67" i="5"/>
  <c r="P67" i="5"/>
  <c r="R66" i="5"/>
  <c r="P66" i="5"/>
  <c r="P65" i="5"/>
  <c r="P64" i="5"/>
  <c r="P63" i="5" l="1"/>
  <c r="R59" i="5"/>
  <c r="P59" i="5"/>
  <c r="P58" i="5"/>
  <c r="P57" i="5"/>
  <c r="P55" i="5"/>
  <c r="P54" i="5"/>
  <c r="P53" i="5"/>
  <c r="P52" i="5"/>
  <c r="P51" i="5"/>
  <c r="P50" i="5"/>
  <c r="P49" i="5"/>
  <c r="P46" i="5"/>
  <c r="R45" i="5"/>
  <c r="R44" i="5"/>
  <c r="R43" i="5"/>
  <c r="P42" i="5"/>
  <c r="P41" i="5"/>
  <c r="P40" i="5"/>
  <c r="P39" i="5"/>
  <c r="P38" i="5"/>
  <c r="P37" i="5"/>
  <c r="R36" i="5"/>
  <c r="P36" i="5"/>
  <c r="R35" i="5"/>
  <c r="P35" i="5"/>
  <c r="R34" i="5"/>
  <c r="P34" i="5"/>
  <c r="P33" i="5"/>
  <c r="P32" i="5"/>
  <c r="P31" i="5"/>
  <c r="P30" i="5"/>
  <c r="P28" i="5"/>
  <c r="R26" i="5"/>
  <c r="P26" i="5"/>
  <c r="R25" i="5"/>
  <c r="P25" i="5"/>
  <c r="R24" i="5"/>
  <c r="P24" i="5"/>
  <c r="P23" i="5"/>
  <c r="P22" i="5"/>
  <c r="P21" i="5"/>
  <c r="P20" i="5"/>
  <c r="P19" i="5"/>
  <c r="P17" i="5"/>
  <c r="P16" i="5"/>
  <c r="P15" i="5"/>
  <c r="AB14" i="5"/>
  <c r="P14" i="5"/>
  <c r="AB13" i="5"/>
  <c r="P13" i="5"/>
  <c r="AB12" i="5"/>
  <c r="W11" i="5"/>
  <c r="V11" i="5"/>
  <c r="U11" i="5"/>
  <c r="AB16" i="5" l="1"/>
  <c r="P10" i="5"/>
  <c r="P9" i="5"/>
  <c r="P8" i="5"/>
  <c r="P7" i="5"/>
  <c r="P6" i="5"/>
  <c r="O12" i="5" l="1"/>
  <c r="AA6" i="5" s="1"/>
  <c r="AA8" i="5" s="1"/>
  <c r="O79" i="5"/>
  <c r="R79" i="5" s="1"/>
  <c r="O81" i="5"/>
  <c r="N79" i="5"/>
  <c r="M79" i="5"/>
  <c r="M81" i="5"/>
  <c r="N81" i="5"/>
  <c r="N12" i="5"/>
  <c r="M12" i="5"/>
  <c r="N226" i="5" l="1"/>
  <c r="N233" i="5" s="1"/>
  <c r="N235" i="5" s="1"/>
  <c r="P79" i="5"/>
  <c r="P12" i="5"/>
  <c r="O217" i="5"/>
  <c r="P248" i="5" s="1"/>
  <c r="N217" i="5"/>
  <c r="N218" i="5" s="1"/>
  <c r="M226" i="5"/>
  <c r="M233" i="5" s="1"/>
  <c r="M235" i="5" s="1"/>
  <c r="O226" i="5"/>
  <c r="O233" i="5" s="1"/>
  <c r="O235" i="5" s="1"/>
  <c r="M217" i="5"/>
  <c r="P81" i="5"/>
  <c r="Y6" i="5"/>
  <c r="Z6" i="5" s="1"/>
  <c r="R81" i="5"/>
  <c r="N236" i="5" l="1"/>
  <c r="O218" i="5"/>
  <c r="R39" i="5" s="1"/>
  <c r="O236" i="5"/>
  <c r="P249" i="5"/>
  <c r="P250" i="5" s="1"/>
  <c r="P217" i="5"/>
  <c r="M218" i="5"/>
  <c r="M236" i="5"/>
  <c r="Z8" i="5"/>
  <c r="AB6" i="5"/>
  <c r="AB8" i="5" s="1"/>
  <c r="R10" i="5"/>
  <c r="R61" i="5" l="1"/>
  <c r="R63" i="5"/>
  <c r="R48" i="5"/>
  <c r="R31" i="5"/>
  <c r="R20" i="5"/>
  <c r="R17" i="5"/>
  <c r="R9" i="5"/>
  <c r="R12" i="5"/>
  <c r="R21" i="5"/>
  <c r="R15" i="5"/>
  <c r="R16" i="5"/>
  <c r="R29" i="5"/>
  <c r="R8" i="5"/>
  <c r="R50" i="5"/>
  <c r="S10" i="5"/>
  <c r="S25" i="5"/>
  <c r="S35" i="5"/>
  <c r="S16" i="5"/>
  <c r="S17" i="5"/>
  <c r="S31" i="5"/>
  <c r="S61" i="5"/>
  <c r="S39" i="5"/>
  <c r="S46" i="5"/>
  <c r="S52" i="5"/>
  <c r="S72" i="5"/>
  <c r="S86" i="5"/>
  <c r="S98" i="5"/>
  <c r="S145" i="5"/>
  <c r="S162" i="5"/>
  <c r="S191" i="5"/>
  <c r="S63" i="5"/>
  <c r="S84" i="5"/>
  <c r="S105" i="5"/>
  <c r="S116" i="5"/>
  <c r="S125" i="5"/>
  <c r="S136" i="5"/>
  <c r="S157" i="5"/>
  <c r="S175" i="5"/>
  <c r="S186" i="5"/>
  <c r="S206" i="5"/>
  <c r="S8" i="5"/>
  <c r="S32" i="5"/>
  <c r="S20" i="5"/>
  <c r="S27" i="5"/>
  <c r="S50" i="5"/>
  <c r="S95" i="5"/>
  <c r="S112" i="5"/>
  <c r="S177" i="5"/>
  <c r="S114" i="5"/>
  <c r="S146" i="5"/>
  <c r="S204" i="5"/>
  <c r="S6" i="5"/>
  <c r="S26" i="5"/>
  <c r="S36" i="5"/>
  <c r="S18" i="5"/>
  <c r="S41" i="5"/>
  <c r="S21" i="5"/>
  <c r="S43" i="5"/>
  <c r="S48" i="5"/>
  <c r="S67" i="5"/>
  <c r="S73" i="5"/>
  <c r="S92" i="5"/>
  <c r="S108" i="5"/>
  <c r="S147" i="5"/>
  <c r="S165" i="5"/>
  <c r="S192" i="5"/>
  <c r="S64" i="5"/>
  <c r="S88" i="5"/>
  <c r="S106" i="5"/>
  <c r="S117" i="5"/>
  <c r="S128" i="5"/>
  <c r="S137" i="5"/>
  <c r="S166" i="5"/>
  <c r="S176" i="5"/>
  <c r="S196" i="5"/>
  <c r="S215" i="5"/>
  <c r="S68" i="5"/>
  <c r="S66" i="5"/>
  <c r="S132" i="5"/>
  <c r="S181" i="5"/>
  <c r="S9" i="5"/>
  <c r="S24" i="5"/>
  <c r="S34" i="5"/>
  <c r="S15" i="5"/>
  <c r="S29" i="5"/>
  <c r="S59" i="5"/>
  <c r="S37" i="5"/>
  <c r="S45" i="5"/>
  <c r="S51" i="5"/>
  <c r="S70" i="5"/>
  <c r="S85" i="5"/>
  <c r="S96" i="5"/>
  <c r="S142" i="5"/>
  <c r="S152" i="5"/>
  <c r="S184" i="5"/>
  <c r="S201" i="5"/>
  <c r="S71" i="5"/>
  <c r="S103" i="5"/>
  <c r="S115" i="5"/>
  <c r="S124" i="5"/>
  <c r="S135" i="5"/>
  <c r="S150" i="5"/>
  <c r="S172" i="5"/>
  <c r="S185" i="5"/>
  <c r="S205" i="5"/>
  <c r="S22" i="5"/>
  <c r="S13" i="5"/>
  <c r="S57" i="5"/>
  <c r="S44" i="5"/>
  <c r="S83" i="5"/>
  <c r="S151" i="5"/>
  <c r="S195" i="5"/>
  <c r="S94" i="5"/>
  <c r="S122" i="5"/>
  <c r="S167" i="5"/>
  <c r="R217" i="5" l="1"/>
  <c r="T26" i="5"/>
  <c r="T10" i="5"/>
  <c r="T36" i="5"/>
  <c r="T17" i="5"/>
</calcChain>
</file>

<file path=xl/sharedStrings.xml><?xml version="1.0" encoding="utf-8"?>
<sst xmlns="http://schemas.openxmlformats.org/spreadsheetml/2006/main" count="486" uniqueCount="190">
  <si>
    <t>Tanggal Lelang/pricing</t>
  </si>
  <si>
    <t>Tanggal Setelmen</t>
  </si>
  <si>
    <t>Seri</t>
  </si>
  <si>
    <t>Jatuh 
Tempo</t>
  </si>
  <si>
    <t>Kupon/ Imbalan</t>
  </si>
  <si>
    <t>Lowest Incoming Yield/Price</t>
  </si>
  <si>
    <t>WAY Incoming</t>
  </si>
  <si>
    <t>Highest Incoming Yield/Price</t>
  </si>
  <si>
    <t>Lowest Awarded Yield/Price</t>
  </si>
  <si>
    <t>Yield/Harga Rata-rata Tertimbang</t>
  </si>
  <si>
    <t>Highest Awarded Yield/Price</t>
  </si>
  <si>
    <t>Target Penerbitan</t>
  </si>
  <si>
    <t>Total Penawaran</t>
  </si>
  <si>
    <t>Total Penawaran Memenuhi Benchmark</t>
  </si>
  <si>
    <t>Total Penawaran Diterima</t>
  </si>
  <si>
    <t>Bid to cover ratio</t>
  </si>
  <si>
    <t>Owner’s estimate</t>
  </si>
  <si>
    <t>Total</t>
  </si>
  <si>
    <t xml:space="preserve"> </t>
  </si>
  <si>
    <t>Jenis</t>
  </si>
  <si>
    <t>FR</t>
  </si>
  <si>
    <t>VR</t>
  </si>
  <si>
    <t>ORI</t>
  </si>
  <si>
    <t>SPN</t>
  </si>
  <si>
    <t>ON Valas</t>
  </si>
  <si>
    <t>Samurai Bond</t>
  </si>
  <si>
    <t>Sukuk Valas</t>
  </si>
  <si>
    <t>SDHI</t>
  </si>
  <si>
    <t>Grand Total</t>
  </si>
  <si>
    <t>IFR</t>
  </si>
  <si>
    <t>Sukuk Ritel</t>
  </si>
  <si>
    <t>Kurs yang dipakai untuk penerbitan valas:</t>
  </si>
  <si>
    <t>FR0058</t>
  </si>
  <si>
    <t>SPN-S</t>
  </si>
  <si>
    <t>FR0060</t>
  </si>
  <si>
    <t>FR0061</t>
  </si>
  <si>
    <t>PBS</t>
  </si>
  <si>
    <t>SPN12130111</t>
  </si>
  <si>
    <t>SPN03120411</t>
  </si>
  <si>
    <t>RI0142</t>
  </si>
  <si>
    <t>USD1.750.000.000</t>
  </si>
  <si>
    <t>USD3.600.000.000</t>
  </si>
  <si>
    <t>SPN03120429</t>
  </si>
  <si>
    <t>FR0059</t>
  </si>
  <si>
    <t>Hasil Penerbitan Surat Berharga Negara - 2012 (juta rupiah)</t>
  </si>
  <si>
    <t>SPN03120508</t>
  </si>
  <si>
    <t>SPN12130208</t>
  </si>
  <si>
    <t>FR0062</t>
  </si>
  <si>
    <t>PBS001</t>
  </si>
  <si>
    <t>PBS002</t>
  </si>
  <si>
    <t>PBS003</t>
  </si>
  <si>
    <t>IFR0010</t>
  </si>
  <si>
    <t>SPN-S 15082012</t>
  </si>
  <si>
    <t>PBS004</t>
  </si>
  <si>
    <t>SPN03120522</t>
  </si>
  <si>
    <t>SPN12130208 (reopening 1)</t>
  </si>
  <si>
    <t>SPN03120607</t>
  </si>
  <si>
    <t>SPN12130307</t>
  </si>
  <si>
    <t>SPN03120621</t>
  </si>
  <si>
    <t>SPN-S 14092012</t>
  </si>
  <si>
    <t>SR-004</t>
  </si>
  <si>
    <t>SDHI 2017A</t>
  </si>
  <si>
    <t>SDHI 2019A</t>
  </si>
  <si>
    <t>SDHI 2022A</t>
  </si>
  <si>
    <t>SPN12130404</t>
  </si>
  <si>
    <t>SPNS11102012</t>
  </si>
  <si>
    <t>SPN03120718</t>
  </si>
  <si>
    <t>SPN12130404 (reopening 1)</t>
  </si>
  <si>
    <t>RI0422</t>
  </si>
  <si>
    <t>USD2.000.000.000</t>
  </si>
  <si>
    <t>USD500.000.000</t>
  </si>
  <si>
    <t>USD5.900.000.000</t>
  </si>
  <si>
    <t>Persentase realisasi penerbitan/target=</t>
  </si>
  <si>
    <t>Sisa penerbitan =</t>
  </si>
  <si>
    <t>SDHI 2016A</t>
  </si>
  <si>
    <t>SDHI 2020A</t>
  </si>
  <si>
    <t>target SBN 2012 (data per 30 April 2012) =</t>
  </si>
  <si>
    <t>sisa penerbitan (271,664,408-138,767,805)=</t>
  </si>
  <si>
    <t>SPN12130502</t>
  </si>
  <si>
    <t>SPNS09112012</t>
  </si>
  <si>
    <t>SPNS09112012 (greenshoe)</t>
  </si>
  <si>
    <t>SPN03120815</t>
  </si>
  <si>
    <t>SPN12130502(reopening 1)</t>
  </si>
  <si>
    <t>SPN12130606</t>
  </si>
  <si>
    <t>SDHI2018A</t>
  </si>
  <si>
    <t>SPNS13122012</t>
  </si>
  <si>
    <t>SPN03120920</t>
  </si>
  <si>
    <t>SPN12130606 (reopneing 1)</t>
  </si>
  <si>
    <t>SPN12130704</t>
  </si>
  <si>
    <t>SPN03121018</t>
  </si>
  <si>
    <t>SPN12130704 (reopening 1)</t>
  </si>
  <si>
    <t>SPN-S 11012013</t>
  </si>
  <si>
    <t>SPN03121112</t>
  </si>
  <si>
    <t>SPN12130812</t>
  </si>
  <si>
    <t>FR0063</t>
  </si>
  <si>
    <t>FR0064</t>
  </si>
  <si>
    <t>SPN-S 08022013</t>
  </si>
  <si>
    <t>SPN-S 25012013</t>
  </si>
  <si>
    <t>FR0065</t>
  </si>
  <si>
    <t>SPN03121212</t>
  </si>
  <si>
    <t>SPN12130912</t>
  </si>
  <si>
    <t>SPN-S 19032013</t>
  </si>
  <si>
    <t>SPN-S 05032013</t>
  </si>
  <si>
    <t>SDHI 2015A</t>
  </si>
  <si>
    <t>SDHI 2020B</t>
  </si>
  <si>
    <t>SPN03130107</t>
  </si>
  <si>
    <t>SPN12131007</t>
  </si>
  <si>
    <t>ORI009</t>
  </si>
  <si>
    <t>SPN-S 03042013</t>
  </si>
  <si>
    <t>SPN-S 17042013</t>
  </si>
  <si>
    <t>FR0066</t>
  </si>
  <si>
    <t>SPN-S 30042013</t>
  </si>
  <si>
    <t>SPN03130213</t>
  </si>
  <si>
    <t>SPN12131113</t>
  </si>
  <si>
    <t>RIJPY1122</t>
  </si>
  <si>
    <t>JPY60.000.000.000</t>
  </si>
  <si>
    <t>SNI22</t>
  </si>
  <si>
    <t>USD1.000.000.000</t>
  </si>
  <si>
    <t>SPN03130304</t>
  </si>
  <si>
    <t>SPN12131204</t>
  </si>
  <si>
    <t>WAY Awarded</t>
  </si>
  <si>
    <t>T o t a l</t>
  </si>
  <si>
    <t>Tanggal Lelang/
Pricing Date</t>
  </si>
  <si>
    <t>Metode Penerbitan/ Issuance Method</t>
  </si>
  <si>
    <t>Seri/Series</t>
  </si>
  <si>
    <t>Jatuh 
Tempo/Maturity Date</t>
  </si>
  <si>
    <t>Kupon/Imbalan - Coupon</t>
  </si>
  <si>
    <t>Total Penawaran/ Incoming Bid</t>
  </si>
  <si>
    <t>Diskonto</t>
  </si>
  <si>
    <t>Nominal Dalam Juta Rupiah</t>
  </si>
  <si>
    <t>-</t>
  </si>
  <si>
    <t>FR0075</t>
  </si>
  <si>
    <t>SPN03180215</t>
  </si>
  <si>
    <t>SPN12181115</t>
  </si>
  <si>
    <t>Tanggal Setelmen/
Settlement Date</t>
  </si>
  <si>
    <t>Total Penawaran Diterima/ 
Awarded Bid</t>
  </si>
  <si>
    <t>Lelang/Auction</t>
  </si>
  <si>
    <t>PBS038</t>
  </si>
  <si>
    <t>PBS032</t>
  </si>
  <si>
    <t>PBS030</t>
  </si>
  <si>
    <t>PBS039</t>
  </si>
  <si>
    <t>PBS034</t>
  </si>
  <si>
    <t>SPNS09062025</t>
  </si>
  <si>
    <t>PBS029</t>
  </si>
  <si>
    <t>Ringkasan Hasil Penerbitan Surat Berharga Negara Tahun 2025 (juta Rupiah) / Summary Result of Government Securities Issuance in 2025 (million Rupiah)</t>
  </si>
  <si>
    <t>SPNS01092025</t>
  </si>
  <si>
    <t>Bookbuilding</t>
  </si>
  <si>
    <t>SNI0530</t>
  </si>
  <si>
    <t>USD1.100.000.000</t>
  </si>
  <si>
    <t>SNI1134</t>
  </si>
  <si>
    <t>USD900.000.000</t>
  </si>
  <si>
    <t>SNI1154</t>
  </si>
  <si>
    <t>USD750.000.000</t>
  </si>
  <si>
    <t>G r a n d   T o t a l   b u l a n   J a n u a r i   2 0 2 5</t>
  </si>
  <si>
    <t>FR0104</t>
  </si>
  <si>
    <t>FR0103</t>
  </si>
  <si>
    <t>FR0098</t>
  </si>
  <si>
    <t>FR0097</t>
  </si>
  <si>
    <t>FR0102</t>
  </si>
  <si>
    <t>FR0105</t>
  </si>
  <si>
    <t>Private Placement</t>
  </si>
  <si>
    <t>SPN12250314</t>
  </si>
  <si>
    <t>SPN12251211</t>
  </si>
  <si>
    <t>SPN03250409</t>
  </si>
  <si>
    <t>SPN12260108</t>
  </si>
  <si>
    <t>FR0106</t>
  </si>
  <si>
    <t>FR0107</t>
  </si>
  <si>
    <t>SPNS07072025</t>
  </si>
  <si>
    <t>SPNS13102025</t>
  </si>
  <si>
    <t>SPN03250423</t>
  </si>
  <si>
    <t>RI0130</t>
  </si>
  <si>
    <t>RI0135</t>
  </si>
  <si>
    <t>RIEUR0133</t>
  </si>
  <si>
    <t>RIEUR0137</t>
  </si>
  <si>
    <t>EUR700.000.000</t>
  </si>
  <si>
    <t>G r a n d   T o t a l   s . d .  T a n g g a l   2 3   b u l a n   J a n u a r i   2 0 2 5</t>
  </si>
  <si>
    <t>G r a n d   T o t a l   b u l a n  F e b r u a r i   2 0 2 5</t>
  </si>
  <si>
    <t>PBSG001</t>
  </si>
  <si>
    <t>SPN03250507</t>
  </si>
  <si>
    <t>SPN12260205</t>
  </si>
  <si>
    <t>SPNS04082025</t>
  </si>
  <si>
    <t>SPNS10112025</t>
  </si>
  <si>
    <t>SPN03250521</t>
  </si>
  <si>
    <t>G r a n d   T o t a l   s . d .  T a n g g a l    2 7   b u l a n   F e b r u a r i   2 0 2 5</t>
  </si>
  <si>
    <t>G r a n d   T o t a l   b u l a n  M a r e t   2 0 2 5</t>
  </si>
  <si>
    <t>G r a n d   T o t a l   s . d .  T a n g g a l    6   b u l a n   M a r e t   2 0 2 5</t>
  </si>
  <si>
    <t>SPN03250604</t>
  </si>
  <si>
    <t>SPN12260305</t>
  </si>
  <si>
    <t>ORI027T3</t>
  </si>
  <si>
    <t>ORI027T6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</si>
</sst>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_);_(@_)"/>
    <numFmt numFmtId="165" formatCode="0.00000%"/>
    <numFmt numFmtId="166" formatCode="_(* #,##0_);_(* \(#,##0\);_(* &quot;-&quot;??_);_(@_)"/>
    <numFmt numFmtId="167" formatCode="[$-409]d\-mmm;@"/>
    <numFmt numFmtId="168" formatCode="[$-409]d\-mmm\-yy;@"/>
  </numFmts>
  <fonts count="2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6"/>
      <name val="Arial"/>
      <family val="2"/>
    </font>
    <font>
      <b/>
      <sz val="8"/>
      <color theme="0"/>
      <name val="Arial"/>
      <family val="2"/>
    </font>
    <font>
      <sz val="8"/>
      <color rgb="FF00000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6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87">
    <xf numFmtId="0" fontId="0" fillId="0" borderId="0" xfId="0"/>
    <xf numFmtId="0" fontId="19" fillId="0" borderId="0" xfId="0" applyFont="1"/>
    <xf numFmtId="0" fontId="20" fillId="0" borderId="0" xfId="0" applyFont="1"/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6" fontId="19" fillId="0" borderId="13" xfId="0" applyNumberFormat="1" applyFont="1" applyBorder="1" applyAlignment="1">
      <alignment horizontal="right"/>
    </xf>
    <xf numFmtId="16" fontId="19" fillId="0" borderId="0" xfId="0" applyNumberFormat="1" applyFont="1" applyAlignment="1">
      <alignment horizontal="right"/>
    </xf>
    <xf numFmtId="0" fontId="19" fillId="0" borderId="14" xfId="0" applyFont="1" applyBorder="1"/>
    <xf numFmtId="15" fontId="19" fillId="0" borderId="15" xfId="0" applyNumberFormat="1" applyFont="1" applyBorder="1"/>
    <xf numFmtId="10" fontId="19" fillId="0" borderId="16" xfId="41" applyNumberFormat="1" applyFont="1" applyBorder="1" applyAlignment="1"/>
    <xf numFmtId="10" fontId="19" fillId="0" borderId="17" xfId="29" applyNumberFormat="1" applyFont="1" applyBorder="1" applyAlignment="1"/>
    <xf numFmtId="10" fontId="19" fillId="0" borderId="15" xfId="29" applyNumberFormat="1" applyFont="1" applyBorder="1" applyAlignment="1"/>
    <xf numFmtId="41" fontId="19" fillId="0" borderId="15" xfId="29" applyFont="1" applyBorder="1" applyAlignment="1"/>
    <xf numFmtId="41" fontId="19" fillId="0" borderId="16" xfId="29" applyFont="1" applyBorder="1" applyAlignment="1"/>
    <xf numFmtId="41" fontId="19" fillId="0" borderId="18" xfId="29" applyFont="1" applyBorder="1" applyAlignment="1"/>
    <xf numFmtId="0" fontId="19" fillId="0" borderId="13" xfId="0" applyFont="1" applyBorder="1"/>
    <xf numFmtId="0" fontId="20" fillId="0" borderId="14" xfId="0" applyFont="1" applyBorder="1"/>
    <xf numFmtId="15" fontId="20" fillId="0" borderId="15" xfId="0" applyNumberFormat="1" applyFont="1" applyBorder="1"/>
    <xf numFmtId="10" fontId="20" fillId="0" borderId="16" xfId="41" applyNumberFormat="1" applyFont="1" applyBorder="1" applyAlignment="1"/>
    <xf numFmtId="0" fontId="20" fillId="0" borderId="15" xfId="0" applyFont="1" applyBorder="1"/>
    <xf numFmtId="41" fontId="20" fillId="0" borderId="15" xfId="29" applyFont="1" applyBorder="1" applyAlignment="1"/>
    <xf numFmtId="41" fontId="20" fillId="0" borderId="16" xfId="29" applyFont="1" applyBorder="1" applyAlignment="1"/>
    <xf numFmtId="41" fontId="20" fillId="0" borderId="14" xfId="29" applyFont="1" applyBorder="1" applyAlignment="1"/>
    <xf numFmtId="41" fontId="20" fillId="0" borderId="18" xfId="29" applyFont="1" applyBorder="1" applyAlignment="1"/>
    <xf numFmtId="9" fontId="20" fillId="0" borderId="16" xfId="41" applyFont="1" applyBorder="1" applyAlignment="1"/>
    <xf numFmtId="165" fontId="20" fillId="0" borderId="16" xfId="41" applyNumberFormat="1" applyFont="1" applyBorder="1" applyAlignment="1"/>
    <xf numFmtId="165" fontId="20" fillId="0" borderId="15" xfId="0" applyNumberFormat="1" applyFont="1" applyBorder="1"/>
    <xf numFmtId="43" fontId="20" fillId="0" borderId="0" xfId="28" applyFont="1"/>
    <xf numFmtId="16" fontId="19" fillId="0" borderId="19" xfId="0" applyNumberFormat="1" applyFont="1" applyBorder="1" applyAlignment="1">
      <alignment horizontal="right"/>
    </xf>
    <xf numFmtId="16" fontId="19" fillId="0" borderId="20" xfId="0" applyNumberFormat="1" applyFont="1" applyBorder="1" applyAlignment="1">
      <alignment horizontal="right"/>
    </xf>
    <xf numFmtId="0" fontId="19" fillId="0" borderId="21" xfId="0" applyFont="1" applyBorder="1"/>
    <xf numFmtId="15" fontId="19" fillId="0" borderId="10" xfId="0" applyNumberFormat="1" applyFont="1" applyBorder="1"/>
    <xf numFmtId="10" fontId="19" fillId="0" borderId="11" xfId="41" applyNumberFormat="1" applyFont="1" applyBorder="1"/>
    <xf numFmtId="10" fontId="19" fillId="0" borderId="10" xfId="29" applyNumberFormat="1" applyFont="1" applyBorder="1"/>
    <xf numFmtId="41" fontId="19" fillId="0" borderId="10" xfId="29" applyFont="1" applyBorder="1"/>
    <xf numFmtId="164" fontId="19" fillId="0" borderId="12" xfId="29" applyNumberFormat="1" applyFont="1" applyFill="1" applyBorder="1" applyAlignment="1">
      <alignment horizontal="center"/>
    </xf>
    <xf numFmtId="41" fontId="19" fillId="0" borderId="11" xfId="29" applyFont="1" applyBorder="1"/>
    <xf numFmtId="41" fontId="20" fillId="0" borderId="0" xfId="0" applyNumberFormat="1" applyFont="1"/>
    <xf numFmtId="0" fontId="20" fillId="0" borderId="22" xfId="0" applyFont="1" applyBorder="1" applyAlignment="1">
      <alignment horizontal="center" vertical="center" wrapText="1"/>
    </xf>
    <xf numFmtId="41" fontId="20" fillId="24" borderId="22" xfId="0" applyNumberFormat="1" applyFont="1" applyFill="1" applyBorder="1"/>
    <xf numFmtId="9" fontId="20" fillId="0" borderId="0" xfId="41" applyFont="1"/>
    <xf numFmtId="0" fontId="19" fillId="25" borderId="22" xfId="0" applyFont="1" applyFill="1" applyBorder="1"/>
    <xf numFmtId="41" fontId="19" fillId="25" borderId="22" xfId="0" applyNumberFormat="1" applyFont="1" applyFill="1" applyBorder="1"/>
    <xf numFmtId="164" fontId="20" fillId="0" borderId="18" xfId="29" applyNumberFormat="1" applyFont="1" applyBorder="1" applyAlignment="1"/>
    <xf numFmtId="41" fontId="20" fillId="24" borderId="22" xfId="0" applyNumberFormat="1" applyFont="1" applyFill="1" applyBorder="1" applyAlignment="1">
      <alignment horizontal="left"/>
    </xf>
    <xf numFmtId="41" fontId="20" fillId="0" borderId="22" xfId="0" applyNumberFormat="1" applyFont="1" applyBorder="1" applyAlignment="1">
      <alignment horizontal="left"/>
    </xf>
    <xf numFmtId="41" fontId="20" fillId="0" borderId="22" xfId="0" applyNumberFormat="1" applyFont="1" applyBorder="1"/>
    <xf numFmtId="43" fontId="20" fillId="0" borderId="16" xfId="28" applyFont="1" applyBorder="1" applyAlignment="1"/>
    <xf numFmtId="41" fontId="19" fillId="0" borderId="22" xfId="0" applyNumberFormat="1" applyFont="1" applyBorder="1" applyAlignment="1">
      <alignment horizontal="left"/>
    </xf>
    <xf numFmtId="41" fontId="19" fillId="0" borderId="22" xfId="0" applyNumberFormat="1" applyFont="1" applyBorder="1"/>
    <xf numFmtId="0" fontId="20" fillId="0" borderId="0" xfId="0" applyFont="1" applyAlignment="1">
      <alignment horizontal="center" vertical="center" wrapText="1"/>
    </xf>
    <xf numFmtId="41" fontId="19" fillId="0" borderId="0" xfId="29" applyFont="1" applyBorder="1" applyAlignment="1"/>
    <xf numFmtId="9" fontId="20" fillId="0" borderId="0" xfId="41" applyFont="1" applyBorder="1" applyAlignment="1"/>
    <xf numFmtId="10" fontId="20" fillId="0" borderId="0" xfId="41" applyNumberFormat="1" applyFont="1" applyBorder="1" applyAlignment="1"/>
    <xf numFmtId="43" fontId="20" fillId="0" borderId="0" xfId="0" applyNumberFormat="1" applyFont="1"/>
    <xf numFmtId="10" fontId="20" fillId="0" borderId="0" xfId="0" applyNumberFormat="1" applyFont="1"/>
    <xf numFmtId="0" fontId="19" fillId="0" borderId="0" xfId="0" applyFont="1" applyAlignment="1">
      <alignment vertical="top"/>
    </xf>
    <xf numFmtId="167" fontId="20" fillId="0" borderId="23" xfId="0" applyNumberFormat="1" applyFont="1" applyBorder="1"/>
    <xf numFmtId="167" fontId="20" fillId="0" borderId="15" xfId="0" applyNumberFormat="1" applyFont="1" applyBorder="1"/>
    <xf numFmtId="43" fontId="20" fillId="0" borderId="0" xfId="41" applyNumberFormat="1" applyFont="1"/>
    <xf numFmtId="0" fontId="20" fillId="0" borderId="24" xfId="0" applyFont="1" applyBorder="1" applyAlignment="1">
      <alignment horizontal="center" vertical="center" wrapText="1"/>
    </xf>
    <xf numFmtId="165" fontId="20" fillId="0" borderId="16" xfId="41" applyNumberFormat="1" applyFont="1" applyFill="1" applyBorder="1" applyAlignment="1"/>
    <xf numFmtId="41" fontId="20" fillId="0" borderId="15" xfId="29" applyFont="1" applyFill="1" applyBorder="1" applyAlignment="1"/>
    <xf numFmtId="164" fontId="20" fillId="0" borderId="18" xfId="29" applyNumberFormat="1" applyFont="1" applyFill="1" applyBorder="1" applyAlignment="1"/>
    <xf numFmtId="10" fontId="20" fillId="0" borderId="25" xfId="41" applyNumberFormat="1" applyFont="1" applyFill="1" applyBorder="1" applyAlignment="1"/>
    <xf numFmtId="167" fontId="20" fillId="0" borderId="26" xfId="0" applyNumberFormat="1" applyFont="1" applyBorder="1"/>
    <xf numFmtId="43" fontId="20" fillId="0" borderId="16" xfId="28" applyFont="1" applyFill="1" applyBorder="1" applyAlignment="1"/>
    <xf numFmtId="167" fontId="20" fillId="0" borderId="27" xfId="0" applyNumberFormat="1" applyFont="1" applyBorder="1"/>
    <xf numFmtId="0" fontId="20" fillId="0" borderId="28" xfId="0" applyFont="1" applyBorder="1"/>
    <xf numFmtId="15" fontId="20" fillId="0" borderId="26" xfId="0" applyNumberFormat="1" applyFont="1" applyBorder="1"/>
    <xf numFmtId="165" fontId="20" fillId="0" borderId="26" xfId="41" applyNumberFormat="1" applyFont="1" applyFill="1" applyBorder="1" applyAlignment="1"/>
    <xf numFmtId="165" fontId="20" fillId="0" borderId="29" xfId="41" applyNumberFormat="1" applyFont="1" applyFill="1" applyBorder="1" applyAlignment="1"/>
    <xf numFmtId="165" fontId="20" fillId="0" borderId="26" xfId="0" applyNumberFormat="1" applyFont="1" applyBorder="1"/>
    <xf numFmtId="41" fontId="20" fillId="0" borderId="26" xfId="29" applyFont="1" applyFill="1" applyBorder="1" applyAlignment="1"/>
    <xf numFmtId="41" fontId="20" fillId="0" borderId="26" xfId="29" applyFont="1" applyFill="1" applyBorder="1" applyAlignment="1">
      <alignment horizontal="right"/>
    </xf>
    <xf numFmtId="164" fontId="20" fillId="0" borderId="30" xfId="29" applyNumberFormat="1" applyFont="1" applyFill="1" applyBorder="1" applyAlignment="1"/>
    <xf numFmtId="10" fontId="20" fillId="0" borderId="31" xfId="41" applyNumberFormat="1" applyFont="1" applyFill="1" applyBorder="1" applyAlignment="1"/>
    <xf numFmtId="166" fontId="20" fillId="0" borderId="0" xfId="28" applyNumberFormat="1" applyFont="1"/>
    <xf numFmtId="43" fontId="19" fillId="0" borderId="0" xfId="28" applyFont="1" applyBorder="1"/>
    <xf numFmtId="167" fontId="20" fillId="0" borderId="0" xfId="0" applyNumberFormat="1" applyFont="1"/>
    <xf numFmtId="167" fontId="20" fillId="26" borderId="23" xfId="0" applyNumberFormat="1" applyFont="1" applyFill="1" applyBorder="1"/>
    <xf numFmtId="167" fontId="20" fillId="26" borderId="15" xfId="0" applyNumberFormat="1" applyFont="1" applyFill="1" applyBorder="1"/>
    <xf numFmtId="0" fontId="20" fillId="26" borderId="14" xfId="0" applyFont="1" applyFill="1" applyBorder="1"/>
    <xf numFmtId="15" fontId="20" fillId="26" borderId="15" xfId="0" applyNumberFormat="1" applyFont="1" applyFill="1" applyBorder="1"/>
    <xf numFmtId="43" fontId="20" fillId="26" borderId="16" xfId="28" applyFont="1" applyFill="1" applyBorder="1" applyAlignment="1"/>
    <xf numFmtId="165" fontId="20" fillId="26" borderId="16" xfId="41" applyNumberFormat="1" applyFont="1" applyFill="1" applyBorder="1" applyAlignment="1"/>
    <xf numFmtId="165" fontId="20" fillId="26" borderId="15" xfId="0" applyNumberFormat="1" applyFont="1" applyFill="1" applyBorder="1"/>
    <xf numFmtId="41" fontId="20" fillId="26" borderId="15" xfId="29" applyFont="1" applyFill="1" applyBorder="1" applyAlignment="1"/>
    <xf numFmtId="164" fontId="20" fillId="26" borderId="18" xfId="29" applyNumberFormat="1" applyFont="1" applyFill="1" applyBorder="1" applyAlignment="1"/>
    <xf numFmtId="10" fontId="20" fillId="26" borderId="0" xfId="41" applyNumberFormat="1" applyFont="1" applyFill="1" applyBorder="1" applyAlignment="1"/>
    <xf numFmtId="167" fontId="20" fillId="26" borderId="0" xfId="0" applyNumberFormat="1" applyFont="1" applyFill="1"/>
    <xf numFmtId="0" fontId="19" fillId="26" borderId="13" xfId="0" applyFont="1" applyFill="1" applyBorder="1"/>
    <xf numFmtId="0" fontId="19" fillId="26" borderId="0" xfId="0" applyFont="1" applyFill="1"/>
    <xf numFmtId="10" fontId="20" fillId="0" borderId="0" xfId="41" applyNumberFormat="1" applyFont="1"/>
    <xf numFmtId="10" fontId="20" fillId="0" borderId="16" xfId="28" applyNumberFormat="1" applyFont="1" applyBorder="1" applyAlignment="1"/>
    <xf numFmtId="165" fontId="20" fillId="0" borderId="16" xfId="28" applyNumberFormat="1" applyFont="1" applyBorder="1" applyAlignment="1"/>
    <xf numFmtId="10" fontId="20" fillId="27" borderId="0" xfId="41" applyNumberFormat="1" applyFont="1" applyFill="1" applyBorder="1" applyAlignment="1"/>
    <xf numFmtId="43" fontId="20" fillId="27" borderId="0" xfId="0" applyNumberFormat="1" applyFont="1" applyFill="1"/>
    <xf numFmtId="0" fontId="20" fillId="27" borderId="0" xfId="0" applyFont="1" applyFill="1"/>
    <xf numFmtId="10" fontId="20" fillId="0" borderId="0" xfId="41" applyNumberFormat="1" applyFont="1" applyFill="1" applyBorder="1" applyAlignment="1"/>
    <xf numFmtId="164" fontId="21" fillId="0" borderId="30" xfId="29" applyNumberFormat="1" applyFont="1" applyFill="1" applyBorder="1" applyAlignment="1"/>
    <xf numFmtId="41" fontId="20" fillId="0" borderId="26" xfId="29" applyFont="1" applyBorder="1" applyAlignment="1"/>
    <xf numFmtId="165" fontId="20" fillId="0" borderId="14" xfId="0" applyNumberFormat="1" applyFont="1" applyBorder="1"/>
    <xf numFmtId="165" fontId="20" fillId="0" borderId="28" xfId="0" applyNumberFormat="1" applyFont="1" applyBorder="1"/>
    <xf numFmtId="0" fontId="20" fillId="0" borderId="22" xfId="0" applyFont="1" applyBorder="1"/>
    <xf numFmtId="41" fontId="19" fillId="0" borderId="22" xfId="29" applyFont="1" applyBorder="1"/>
    <xf numFmtId="10" fontId="20" fillId="0" borderId="22" xfId="41" applyNumberFormat="1" applyFont="1" applyBorder="1"/>
    <xf numFmtId="10" fontId="20" fillId="0" borderId="22" xfId="0" applyNumberFormat="1" applyFont="1" applyBorder="1"/>
    <xf numFmtId="10" fontId="20" fillId="25" borderId="0" xfId="41" applyNumberFormat="1" applyFont="1" applyFill="1" applyBorder="1" applyAlignment="1"/>
    <xf numFmtId="43" fontId="20" fillId="25" borderId="0" xfId="0" applyNumberFormat="1" applyFont="1" applyFill="1"/>
    <xf numFmtId="0" fontId="20" fillId="25" borderId="0" xfId="0" applyFont="1" applyFill="1"/>
    <xf numFmtId="167" fontId="20" fillId="26" borderId="27" xfId="0" applyNumberFormat="1" applyFont="1" applyFill="1" applyBorder="1"/>
    <xf numFmtId="0" fontId="20" fillId="26" borderId="28" xfId="0" applyFont="1" applyFill="1" applyBorder="1"/>
    <xf numFmtId="15" fontId="20" fillId="26" borderId="26" xfId="0" applyNumberFormat="1" applyFont="1" applyFill="1" applyBorder="1"/>
    <xf numFmtId="43" fontId="20" fillId="26" borderId="29" xfId="28" applyFont="1" applyFill="1" applyBorder="1" applyAlignment="1"/>
    <xf numFmtId="165" fontId="20" fillId="26" borderId="29" xfId="41" applyNumberFormat="1" applyFont="1" applyFill="1" applyBorder="1" applyAlignment="1"/>
    <xf numFmtId="165" fontId="20" fillId="26" borderId="26" xfId="0" applyNumberFormat="1" applyFont="1" applyFill="1" applyBorder="1"/>
    <xf numFmtId="41" fontId="20" fillId="26" borderId="26" xfId="29" applyFont="1" applyFill="1" applyBorder="1" applyAlignment="1"/>
    <xf numFmtId="164" fontId="20" fillId="26" borderId="30" xfId="29" applyNumberFormat="1" applyFont="1" applyFill="1" applyBorder="1" applyAlignment="1"/>
    <xf numFmtId="10" fontId="20" fillId="26" borderId="33" xfId="41" applyNumberFormat="1" applyFont="1" applyFill="1" applyBorder="1" applyAlignment="1"/>
    <xf numFmtId="0" fontId="19" fillId="26" borderId="34" xfId="0" applyFont="1" applyFill="1" applyBorder="1"/>
    <xf numFmtId="167" fontId="20" fillId="26" borderId="35" xfId="0" applyNumberFormat="1" applyFont="1" applyFill="1" applyBorder="1"/>
    <xf numFmtId="0" fontId="20" fillId="26" borderId="36" xfId="0" applyFont="1" applyFill="1" applyBorder="1"/>
    <xf numFmtId="15" fontId="20" fillId="26" borderId="32" xfId="0" applyNumberFormat="1" applyFont="1" applyFill="1" applyBorder="1"/>
    <xf numFmtId="43" fontId="20" fillId="26" borderId="37" xfId="28" applyFont="1" applyFill="1" applyBorder="1" applyAlignment="1"/>
    <xf numFmtId="165" fontId="20" fillId="26" borderId="37" xfId="41" applyNumberFormat="1" applyFont="1" applyFill="1" applyBorder="1" applyAlignment="1"/>
    <xf numFmtId="165" fontId="20" fillId="26" borderId="32" xfId="0" applyNumberFormat="1" applyFont="1" applyFill="1" applyBorder="1"/>
    <xf numFmtId="41" fontId="20" fillId="26" borderId="32" xfId="29" applyFont="1" applyFill="1" applyBorder="1" applyAlignment="1"/>
    <xf numFmtId="164" fontId="20" fillId="26" borderId="38" xfId="29" applyNumberFormat="1" applyFont="1" applyFill="1" applyBorder="1" applyAlignment="1"/>
    <xf numFmtId="10" fontId="20" fillId="26" borderId="35" xfId="41" applyNumberFormat="1" applyFont="1" applyFill="1" applyBorder="1" applyAlignment="1"/>
    <xf numFmtId="0" fontId="19" fillId="26" borderId="39" xfId="0" applyFont="1" applyFill="1" applyBorder="1"/>
    <xf numFmtId="0" fontId="19" fillId="26" borderId="40" xfId="0" applyFont="1" applyFill="1" applyBorder="1"/>
    <xf numFmtId="0" fontId="20" fillId="26" borderId="41" xfId="0" applyFont="1" applyFill="1" applyBorder="1"/>
    <xf numFmtId="15" fontId="20" fillId="26" borderId="42" xfId="0" applyNumberFormat="1" applyFont="1" applyFill="1" applyBorder="1"/>
    <xf numFmtId="165" fontId="20" fillId="26" borderId="43" xfId="41" applyNumberFormat="1" applyFont="1" applyFill="1" applyBorder="1" applyAlignment="1"/>
    <xf numFmtId="165" fontId="20" fillId="26" borderId="42" xfId="0" applyNumberFormat="1" applyFont="1" applyFill="1" applyBorder="1"/>
    <xf numFmtId="41" fontId="20" fillId="26" borderId="42" xfId="29" applyFont="1" applyFill="1" applyBorder="1" applyAlignment="1"/>
    <xf numFmtId="164" fontId="20" fillId="26" borderId="44" xfId="29" applyNumberFormat="1" applyFont="1" applyFill="1" applyBorder="1" applyAlignment="1"/>
    <xf numFmtId="10" fontId="20" fillId="26" borderId="40" xfId="41" applyNumberFormat="1" applyFont="1" applyFill="1" applyBorder="1" applyAlignment="1"/>
    <xf numFmtId="41" fontId="20" fillId="0" borderId="15" xfId="29" applyFont="1" applyFill="1" applyBorder="1" applyAlignment="1">
      <alignment horizontal="right"/>
    </xf>
    <xf numFmtId="0" fontId="19" fillId="26" borderId="35" xfId="0" applyFont="1" applyFill="1" applyBorder="1"/>
    <xf numFmtId="0" fontId="22" fillId="0" borderId="0" xfId="0" applyFont="1"/>
    <xf numFmtId="15" fontId="20" fillId="26" borderId="0" xfId="0" applyNumberFormat="1" applyFont="1" applyFill="1"/>
    <xf numFmtId="165" fontId="20" fillId="26" borderId="0" xfId="41" applyNumberFormat="1" applyFont="1" applyFill="1" applyBorder="1" applyAlignment="1"/>
    <xf numFmtId="10" fontId="20" fillId="0" borderId="33" xfId="41" applyNumberFormat="1" applyFont="1" applyFill="1" applyBorder="1" applyAlignment="1"/>
    <xf numFmtId="0" fontId="20" fillId="0" borderId="36" xfId="0" applyFont="1" applyBorder="1"/>
    <xf numFmtId="15" fontId="20" fillId="0" borderId="32" xfId="0" applyNumberFormat="1" applyFont="1" applyBorder="1"/>
    <xf numFmtId="165" fontId="20" fillId="0" borderId="37" xfId="41" applyNumberFormat="1" applyFont="1" applyFill="1" applyBorder="1" applyAlignment="1"/>
    <xf numFmtId="41" fontId="20" fillId="0" borderId="32" xfId="29" applyFont="1" applyFill="1" applyBorder="1" applyAlignment="1"/>
    <xf numFmtId="10" fontId="20" fillId="0" borderId="35" xfId="41" applyNumberFormat="1" applyFont="1" applyFill="1" applyBorder="1" applyAlignment="1"/>
    <xf numFmtId="167" fontId="20" fillId="0" borderId="46" xfId="0" applyNumberFormat="1" applyFont="1" applyBorder="1"/>
    <xf numFmtId="165" fontId="20" fillId="0" borderId="16" xfId="0" applyNumberFormat="1" applyFont="1" applyBorder="1"/>
    <xf numFmtId="41" fontId="20" fillId="26" borderId="15" xfId="29" applyFont="1" applyFill="1" applyBorder="1" applyAlignment="1">
      <alignment horizontal="right"/>
    </xf>
    <xf numFmtId="167" fontId="20" fillId="0" borderId="15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47" xfId="0" applyFont="1" applyBorder="1" applyAlignment="1">
      <alignment horizontal="center"/>
    </xf>
    <xf numFmtId="0" fontId="20" fillId="0" borderId="0" xfId="0" applyFont="1" applyAlignment="1">
      <alignment horizontal="center"/>
    </xf>
    <xf numFmtId="15" fontId="20" fillId="0" borderId="47" xfId="0" applyNumberFormat="1" applyFont="1" applyBorder="1" applyAlignment="1">
      <alignment horizontal="center"/>
    </xf>
    <xf numFmtId="165" fontId="20" fillId="0" borderId="0" xfId="0" applyNumberFormat="1" applyFont="1" applyAlignment="1">
      <alignment horizontal="center"/>
    </xf>
    <xf numFmtId="0" fontId="20" fillId="0" borderId="47" xfId="0" applyFont="1" applyBorder="1" applyAlignment="1">
      <alignment horizontal="center"/>
    </xf>
    <xf numFmtId="0" fontId="23" fillId="28" borderId="22" xfId="0" applyFont="1" applyFill="1" applyBorder="1" applyAlignment="1">
      <alignment horizontal="center" vertical="center" wrapText="1"/>
    </xf>
    <xf numFmtId="165" fontId="23" fillId="28" borderId="22" xfId="0" applyNumberFormat="1" applyFont="1" applyFill="1" applyBorder="1" applyAlignment="1">
      <alignment horizontal="center" vertical="center" wrapText="1"/>
    </xf>
    <xf numFmtId="0" fontId="23" fillId="28" borderId="10" xfId="0" applyFont="1" applyFill="1" applyBorder="1" applyAlignment="1">
      <alignment horizontal="center" vertical="center" wrapText="1"/>
    </xf>
    <xf numFmtId="168" fontId="20" fillId="0" borderId="47" xfId="0" applyNumberFormat="1" applyFont="1" applyBorder="1" applyAlignment="1">
      <alignment horizontal="center"/>
    </xf>
    <xf numFmtId="164" fontId="19" fillId="0" borderId="22" xfId="29" applyNumberFormat="1" applyFont="1" applyFill="1" applyBorder="1" applyAlignment="1">
      <alignment horizontal="center"/>
    </xf>
    <xf numFmtId="165" fontId="20" fillId="0" borderId="47" xfId="41" applyNumberFormat="1" applyFont="1" applyFill="1" applyBorder="1" applyAlignment="1">
      <alignment horizontal="center"/>
    </xf>
    <xf numFmtId="15" fontId="0" fillId="0" borderId="0" xfId="0" applyNumberFormat="1"/>
    <xf numFmtId="10" fontId="0" fillId="0" borderId="0" xfId="0" applyNumberFormat="1"/>
    <xf numFmtId="3" fontId="0" fillId="0" borderId="0" xfId="0" applyNumberFormat="1"/>
    <xf numFmtId="164" fontId="20" fillId="0" borderId="48" xfId="29" applyNumberFormat="1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24" fillId="0" borderId="47" xfId="0" applyFont="1" applyBorder="1"/>
    <xf numFmtId="41" fontId="19" fillId="0" borderId="22" xfId="29" applyFont="1" applyBorder="1" applyAlignment="1">
      <alignment horizontal="center"/>
    </xf>
    <xf numFmtId="3" fontId="25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47" xfId="0" quotePrefix="1" applyNumberFormat="1" applyFont="1" applyBorder="1" applyAlignment="1">
      <alignment horizontal="center"/>
    </xf>
    <xf numFmtId="41" fontId="19" fillId="0" borderId="22" xfId="29" quotePrefix="1" applyFont="1" applyFill="1" applyBorder="1" applyAlignment="1"/>
    <xf numFmtId="165" fontId="20" fillId="0" borderId="25" xfId="0" applyNumberFormat="1" applyFont="1" applyBorder="1" applyAlignment="1">
      <alignment horizontal="center"/>
    </xf>
    <xf numFmtId="165" fontId="20" fillId="0" borderId="47" xfId="41" quotePrefix="1" applyNumberFormat="1" applyFont="1" applyFill="1" applyBorder="1" applyAlignment="1">
      <alignment horizontal="center"/>
    </xf>
    <xf numFmtId="165" fontId="20" fillId="0" borderId="0" xfId="41" quotePrefix="1" applyNumberFormat="1" applyFont="1" applyFill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168" fontId="20" fillId="29" borderId="47" xfId="0" applyNumberFormat="1" applyFont="1" applyFill="1" applyBorder="1" applyAlignment="1">
      <alignment horizontal="center"/>
    </xf>
    <xf numFmtId="0" fontId="24" fillId="29" borderId="47" xfId="0" applyFont="1" applyFill="1" applyBorder="1"/>
    <xf numFmtId="15" fontId="20" fillId="29" borderId="47" xfId="0" applyNumberFormat="1" applyFont="1" applyFill="1" applyBorder="1" applyAlignment="1">
      <alignment horizontal="center"/>
    </xf>
    <xf numFmtId="165" fontId="20" fillId="29" borderId="47" xfId="41" applyNumberFormat="1" applyFont="1" applyFill="1" applyBorder="1" applyAlignment="1">
      <alignment horizontal="center"/>
    </xf>
    <xf numFmtId="165" fontId="20" fillId="29" borderId="47" xfId="0" applyNumberFormat="1" applyFont="1" applyFill="1" applyBorder="1" applyAlignment="1">
      <alignment horizontal="center"/>
    </xf>
    <xf numFmtId="164" fontId="20" fillId="29" borderId="47" xfId="29" applyNumberFormat="1" applyFont="1" applyFill="1" applyBorder="1" applyAlignment="1">
      <alignment horizontal="center"/>
    </xf>
    <xf numFmtId="0" fontId="19" fillId="29" borderId="47" xfId="0" applyFont="1" applyFill="1" applyBorder="1" applyAlignment="1">
      <alignment horizontal="center"/>
    </xf>
    <xf numFmtId="41" fontId="19" fillId="29" borderId="22" xfId="29" quotePrefix="1" applyFont="1" applyFill="1" applyBorder="1" applyAlignment="1"/>
    <xf numFmtId="0" fontId="19" fillId="29" borderId="23" xfId="0" applyFont="1" applyFill="1" applyBorder="1" applyAlignment="1">
      <alignment horizontal="center"/>
    </xf>
    <xf numFmtId="0" fontId="19" fillId="29" borderId="25" xfId="0" applyFont="1" applyFill="1" applyBorder="1" applyAlignment="1">
      <alignment horizontal="center"/>
    </xf>
    <xf numFmtId="164" fontId="19" fillId="29" borderId="50" xfId="29" applyNumberFormat="1" applyFont="1" applyFill="1" applyBorder="1" applyAlignment="1">
      <alignment horizontal="center"/>
    </xf>
    <xf numFmtId="165" fontId="20" fillId="29" borderId="49" xfId="41" quotePrefix="1" applyNumberFormat="1" applyFont="1" applyFill="1" applyBorder="1" applyAlignment="1">
      <alignment horizontal="center"/>
    </xf>
    <xf numFmtId="165" fontId="20" fillId="29" borderId="0" xfId="0" applyNumberFormat="1" applyFont="1" applyFill="1" applyAlignment="1">
      <alignment horizontal="center"/>
    </xf>
    <xf numFmtId="165" fontId="20" fillId="29" borderId="47" xfId="0" quotePrefix="1" applyNumberFormat="1" applyFont="1" applyFill="1" applyBorder="1" applyAlignment="1">
      <alignment horizontal="center"/>
    </xf>
    <xf numFmtId="165" fontId="20" fillId="29" borderId="0" xfId="0" quotePrefix="1" applyNumberFormat="1" applyFont="1" applyFill="1" applyAlignment="1">
      <alignment horizontal="center"/>
    </xf>
    <xf numFmtId="168" fontId="20" fillId="29" borderId="23" xfId="0" applyNumberFormat="1" applyFont="1" applyFill="1" applyBorder="1" applyAlignment="1">
      <alignment horizontal="center"/>
    </xf>
    <xf numFmtId="0" fontId="20" fillId="29" borderId="25" xfId="0" applyFont="1" applyFill="1" applyBorder="1" applyAlignment="1">
      <alignment horizontal="center"/>
    </xf>
    <xf numFmtId="0" fontId="19" fillId="29" borderId="50" xfId="0" applyFont="1" applyFill="1" applyBorder="1" applyAlignment="1">
      <alignment horizontal="center"/>
    </xf>
    <xf numFmtId="164" fontId="20" fillId="29" borderId="50" xfId="29" applyNumberFormat="1" applyFont="1" applyFill="1" applyBorder="1" applyAlignment="1">
      <alignment horizontal="center"/>
    </xf>
    <xf numFmtId="165" fontId="20" fillId="29" borderId="47" xfId="41" quotePrefix="1" applyNumberFormat="1" applyFont="1" applyFill="1" applyBorder="1" applyAlignment="1">
      <alignment horizontal="center"/>
    </xf>
    <xf numFmtId="168" fontId="20" fillId="29" borderId="49" xfId="0" applyNumberFormat="1" applyFont="1" applyFill="1" applyBorder="1" applyAlignment="1">
      <alignment horizontal="center"/>
    </xf>
    <xf numFmtId="164" fontId="20" fillId="0" borderId="48" xfId="29" quotePrefix="1" applyNumberFormat="1" applyFont="1" applyFill="1" applyBorder="1" applyAlignment="1">
      <alignment horizontal="center"/>
    </xf>
    <xf numFmtId="164" fontId="20" fillId="0" borderId="48" xfId="29" quotePrefix="1" applyNumberFormat="1" applyFont="1" applyFill="1" applyBorder="1" applyAlignment="1">
      <alignment horizontal="right"/>
    </xf>
    <xf numFmtId="164" fontId="20" fillId="0" borderId="48" xfId="29" applyNumberFormat="1" applyFont="1" applyFill="1" applyBorder="1" applyAlignment="1">
      <alignment horizontal="right"/>
    </xf>
    <xf numFmtId="165" fontId="20" fillId="0" borderId="47" xfId="28" applyNumberFormat="1" applyFont="1" applyFill="1" applyBorder="1" applyAlignment="1">
      <alignment horizontal="center"/>
    </xf>
    <xf numFmtId="43" fontId="26" fillId="0" borderId="47" xfId="28" quotePrefix="1" applyFont="1" applyBorder="1" applyAlignment="1" applyProtection="1">
      <alignment horizontal="right" vertical="top" wrapText="1" readingOrder="1"/>
      <protection locked="0"/>
    </xf>
    <xf numFmtId="3" fontId="26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41" fontId="19" fillId="0" borderId="22" xfId="29" applyFont="1" applyFill="1" applyBorder="1" applyAlignment="1">
      <alignment horizontal="center"/>
    </xf>
    <xf numFmtId="3" fontId="26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165" fontId="20" fillId="29" borderId="23" xfId="41" applyNumberFormat="1" applyFont="1" applyFill="1" applyBorder="1" applyAlignment="1">
      <alignment horizontal="center"/>
    </xf>
    <xf numFmtId="165" fontId="20" fillId="29" borderId="23" xfId="41" quotePrefix="1" applyNumberFormat="1" applyFont="1" applyFill="1" applyBorder="1" applyAlignment="1">
      <alignment horizontal="center"/>
    </xf>
    <xf numFmtId="3" fontId="26" fillId="29" borderId="25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6" fillId="29" borderId="47" xfId="0" applyNumberFormat="1" applyFont="1" applyFill="1" applyBorder="1" applyAlignment="1" applyProtection="1">
      <alignment horizontal="right" vertical="top" wrapText="1" readingOrder="1"/>
      <protection locked="0"/>
    </xf>
    <xf numFmtId="0" fontId="27" fillId="29" borderId="25" xfId="0" applyFont="1" applyFill="1" applyBorder="1" applyAlignment="1">
      <alignment vertical="center"/>
    </xf>
    <xf numFmtId="15" fontId="27" fillId="29" borderId="25" xfId="0" applyNumberFormat="1" applyFont="1" applyFill="1" applyBorder="1" applyAlignment="1">
      <alignment horizontal="center" vertical="center"/>
    </xf>
    <xf numFmtId="165" fontId="27" fillId="29" borderId="47" xfId="41" applyNumberFormat="1" applyFont="1" applyFill="1" applyBorder="1" applyAlignment="1">
      <alignment horizontal="center" vertical="center" wrapText="1"/>
    </xf>
    <xf numFmtId="165" fontId="27" fillId="29" borderId="25" xfId="41" applyNumberFormat="1" applyFont="1" applyFill="1" applyBorder="1" applyAlignment="1">
      <alignment horizontal="center" vertical="center"/>
    </xf>
    <xf numFmtId="165" fontId="27" fillId="29" borderId="47" xfId="0" applyNumberFormat="1" applyFont="1" applyFill="1" applyBorder="1" applyAlignment="1">
      <alignment horizontal="center" vertical="center"/>
    </xf>
    <xf numFmtId="41" fontId="27" fillId="29" borderId="47" xfId="29" quotePrefix="1" applyFont="1" applyFill="1" applyBorder="1" applyAlignment="1">
      <alignment vertical="center"/>
    </xf>
    <xf numFmtId="164" fontId="27" fillId="29" borderId="47" xfId="29" applyNumberFormat="1" applyFont="1" applyFill="1" applyBorder="1" applyAlignment="1">
      <alignment horizontal="right"/>
    </xf>
    <xf numFmtId="0" fontId="27" fillId="0" borderId="0" xfId="0" applyFont="1"/>
    <xf numFmtId="41" fontId="27" fillId="0" borderId="0" xfId="29" quotePrefix="1" applyFont="1" applyFill="1" applyBorder="1" applyAlignment="1">
      <alignment vertical="center"/>
    </xf>
    <xf numFmtId="41" fontId="28" fillId="29" borderId="22" xfId="29" quotePrefix="1" applyFont="1" applyFill="1" applyBorder="1" applyAlignment="1"/>
    <xf numFmtId="0" fontId="27" fillId="29" borderId="49" xfId="0" applyFont="1" applyFill="1" applyBorder="1" applyAlignment="1">
      <alignment vertical="center"/>
    </xf>
    <xf numFmtId="15" fontId="27" fillId="29" borderId="51" xfId="0" applyNumberFormat="1" applyFont="1" applyFill="1" applyBorder="1" applyAlignment="1">
      <alignment vertical="center"/>
    </xf>
    <xf numFmtId="15" fontId="20" fillId="29" borderId="49" xfId="0" applyNumberFormat="1" applyFont="1" applyFill="1" applyBorder="1" applyAlignment="1">
      <alignment horizontal="center"/>
    </xf>
    <xf numFmtId="0" fontId="20" fillId="29" borderId="49" xfId="0" applyFont="1" applyFill="1" applyBorder="1" applyAlignment="1">
      <alignment horizontal="center"/>
    </xf>
    <xf numFmtId="0" fontId="24" fillId="29" borderId="49" xfId="0" applyFont="1" applyFill="1" applyBorder="1"/>
    <xf numFmtId="165" fontId="20" fillId="29" borderId="49" xfId="49" applyNumberFormat="1" applyFont="1" applyFill="1" applyBorder="1" applyAlignment="1">
      <alignment horizontal="center"/>
    </xf>
    <xf numFmtId="165" fontId="20" fillId="29" borderId="49" xfId="0" applyNumberFormat="1" applyFont="1" applyFill="1" applyBorder="1" applyAlignment="1">
      <alignment horizontal="center"/>
    </xf>
    <xf numFmtId="41" fontId="20" fillId="29" borderId="49" xfId="50" quotePrefix="1" applyFont="1" applyFill="1" applyBorder="1" applyAlignment="1">
      <alignment horizontal="right"/>
    </xf>
    <xf numFmtId="164" fontId="20" fillId="29" borderId="49" xfId="50" applyNumberFormat="1" applyFont="1" applyFill="1" applyBorder="1" applyAlignment="1">
      <alignment horizontal="right"/>
    </xf>
    <xf numFmtId="0" fontId="20" fillId="0" borderId="0" xfId="46" applyFont="1"/>
    <xf numFmtId="0" fontId="20" fillId="29" borderId="47" xfId="0" applyFont="1" applyFill="1" applyBorder="1" applyAlignment="1">
      <alignment horizontal="center"/>
    </xf>
    <xf numFmtId="165" fontId="20" fillId="29" borderId="47" xfId="49" applyNumberFormat="1" applyFont="1" applyFill="1" applyBorder="1" applyAlignment="1">
      <alignment horizontal="center"/>
    </xf>
    <xf numFmtId="41" fontId="20" fillId="29" borderId="47" xfId="50" quotePrefix="1" applyFont="1" applyFill="1" applyBorder="1" applyAlignment="1">
      <alignment horizontal="right"/>
    </xf>
    <xf numFmtId="164" fontId="20" fillId="29" borderId="47" xfId="50" applyNumberFormat="1" applyFont="1" applyFill="1" applyBorder="1" applyAlignment="1">
      <alignment horizontal="right"/>
    </xf>
    <xf numFmtId="0" fontId="20" fillId="29" borderId="50" xfId="0" applyFont="1" applyFill="1" applyBorder="1" applyAlignment="1">
      <alignment horizontal="center"/>
    </xf>
    <xf numFmtId="0" fontId="24" fillId="29" borderId="50" xfId="0" applyFont="1" applyFill="1" applyBorder="1"/>
    <xf numFmtId="15" fontId="20" fillId="29" borderId="50" xfId="0" applyNumberFormat="1" applyFont="1" applyFill="1" applyBorder="1" applyAlignment="1">
      <alignment horizontal="center"/>
    </xf>
    <xf numFmtId="165" fontId="20" fillId="29" borderId="50" xfId="49" applyNumberFormat="1" applyFont="1" applyFill="1" applyBorder="1" applyAlignment="1">
      <alignment horizontal="center"/>
    </xf>
    <xf numFmtId="165" fontId="20" fillId="29" borderId="50" xfId="0" applyNumberFormat="1" applyFont="1" applyFill="1" applyBorder="1" applyAlignment="1">
      <alignment horizontal="center"/>
    </xf>
    <xf numFmtId="41" fontId="20" fillId="29" borderId="50" xfId="50" quotePrefix="1" applyFont="1" applyFill="1" applyBorder="1" applyAlignment="1">
      <alignment horizontal="right"/>
    </xf>
    <xf numFmtId="164" fontId="20" fillId="29" borderId="50" xfId="50" applyNumberFormat="1" applyFont="1" applyFill="1" applyBorder="1" applyAlignment="1">
      <alignment horizontal="right"/>
    </xf>
    <xf numFmtId="15" fontId="20" fillId="29" borderId="0" xfId="0" applyNumberFormat="1" applyFont="1" applyFill="1" applyAlignment="1">
      <alignment horizontal="center"/>
    </xf>
    <xf numFmtId="41" fontId="20" fillId="29" borderId="0" xfId="50" quotePrefix="1" applyFont="1" applyFill="1" applyBorder="1" applyAlignment="1">
      <alignment horizontal="right"/>
    </xf>
    <xf numFmtId="164" fontId="20" fillId="29" borderId="25" xfId="50" applyNumberFormat="1" applyFont="1" applyFill="1" applyBorder="1" applyAlignment="1">
      <alignment horizontal="right"/>
    </xf>
    <xf numFmtId="165" fontId="20" fillId="29" borderId="25" xfId="49" applyNumberFormat="1" applyFont="1" applyFill="1" applyBorder="1" applyAlignment="1">
      <alignment horizontal="center"/>
    </xf>
    <xf numFmtId="167" fontId="20" fillId="0" borderId="27" xfId="0" applyNumberFormat="1" applyFont="1" applyBorder="1" applyAlignment="1">
      <alignment horizontal="center" vertical="center" wrapText="1"/>
    </xf>
    <xf numFmtId="167" fontId="20" fillId="0" borderId="23" xfId="0" applyNumberFormat="1" applyFont="1" applyBorder="1" applyAlignment="1">
      <alignment horizontal="center" vertical="center" wrapText="1"/>
    </xf>
    <xf numFmtId="167" fontId="20" fillId="0" borderId="26" xfId="0" applyNumberFormat="1" applyFont="1" applyBorder="1" applyAlignment="1">
      <alignment horizontal="center" vertical="center" wrapText="1"/>
    </xf>
    <xf numFmtId="167" fontId="20" fillId="0" borderId="15" xfId="0" applyNumberFormat="1" applyFont="1" applyBorder="1" applyAlignment="1">
      <alignment horizontal="center" vertical="center" wrapText="1"/>
    </xf>
    <xf numFmtId="0" fontId="20" fillId="0" borderId="24" xfId="0" applyFont="1" applyBorder="1" applyAlignment="1">
      <alignment horizontal="left"/>
    </xf>
    <xf numFmtId="0" fontId="20" fillId="0" borderId="45" xfId="0" applyFont="1" applyBorder="1" applyAlignment="1">
      <alignment horizontal="left"/>
    </xf>
    <xf numFmtId="0" fontId="19" fillId="0" borderId="24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45" xfId="0" applyFont="1" applyBorder="1" applyAlignment="1">
      <alignment horizontal="center"/>
    </xf>
    <xf numFmtId="16" fontId="19" fillId="0" borderId="24" xfId="0" applyNumberFormat="1" applyFont="1" applyBorder="1" applyAlignment="1">
      <alignment horizontal="center"/>
    </xf>
    <xf numFmtId="16" fontId="19" fillId="0" borderId="20" xfId="0" applyNumberFormat="1" applyFont="1" applyBorder="1" applyAlignment="1">
      <alignment horizontal="center"/>
    </xf>
    <xf numFmtId="16" fontId="19" fillId="0" borderId="45" xfId="0" applyNumberFormat="1" applyFont="1" applyBorder="1" applyAlignment="1">
      <alignment horizontal="center"/>
    </xf>
    <xf numFmtId="0" fontId="20" fillId="0" borderId="35" xfId="0" applyFont="1" applyBorder="1" applyAlignment="1">
      <alignment horizontal="right"/>
    </xf>
    <xf numFmtId="0" fontId="19" fillId="29" borderId="24" xfId="0" applyFont="1" applyFill="1" applyBorder="1" applyAlignment="1">
      <alignment horizontal="center"/>
    </xf>
    <xf numFmtId="0" fontId="19" fillId="29" borderId="35" xfId="0" applyFont="1" applyFill="1" applyBorder="1" applyAlignment="1">
      <alignment horizontal="center"/>
    </xf>
    <xf numFmtId="0" fontId="19" fillId="29" borderId="20" xfId="0" applyFont="1" applyFill="1" applyBorder="1" applyAlignment="1">
      <alignment horizontal="center"/>
    </xf>
    <xf numFmtId="0" fontId="19" fillId="29" borderId="45" xfId="0" applyFont="1" applyFill="1" applyBorder="1" applyAlignment="1">
      <alignment horizontal="center"/>
    </xf>
    <xf numFmtId="0" fontId="28" fillId="29" borderId="24" xfId="0" applyFont="1" applyFill="1" applyBorder="1" applyAlignment="1">
      <alignment horizontal="center"/>
    </xf>
    <xf numFmtId="0" fontId="28" fillId="29" borderId="20" xfId="0" applyFont="1" applyFill="1" applyBorder="1" applyAlignment="1">
      <alignment horizontal="center"/>
    </xf>
    <xf numFmtId="0" fontId="28" fillId="29" borderId="45" xfId="0" applyFont="1" applyFill="1" applyBorder="1" applyAlignment="1">
      <alignment horizontal="center"/>
    </xf>
    <xf numFmtId="168" fontId="20" fillId="29" borderId="51" xfId="0" applyNumberFormat="1" applyFont="1" applyFill="1" applyBorder="1" applyAlignment="1">
      <alignment horizontal="center"/>
    </xf>
    <xf numFmtId="168" fontId="20" fillId="29" borderId="52" xfId="0" applyNumberFormat="1" applyFont="1" applyFill="1" applyBorder="1" applyAlignment="1">
      <alignment horizontal="center"/>
    </xf>
    <xf numFmtId="0" fontId="20" fillId="29" borderId="52" xfId="0" applyFont="1" applyFill="1" applyBorder="1" applyAlignment="1">
      <alignment horizontal="center"/>
    </xf>
    <xf numFmtId="165" fontId="20" fillId="29" borderId="49" xfId="41" applyNumberFormat="1" applyFont="1" applyFill="1" applyBorder="1" applyAlignment="1">
      <alignment horizontal="center"/>
    </xf>
    <xf numFmtId="3" fontId="26" fillId="29" borderId="49" xfId="0" quotePrefix="1" applyNumberFormat="1" applyFont="1" applyFill="1" applyBorder="1" applyAlignment="1" applyProtection="1">
      <alignment horizontal="right" vertical="top" wrapText="1" readingOrder="1"/>
      <protection locked="0"/>
    </xf>
    <xf numFmtId="164" fontId="20" fillId="29" borderId="53" xfId="29" applyNumberFormat="1" applyFont="1" applyFill="1" applyBorder="1" applyAlignment="1">
      <alignment horizontal="center"/>
    </xf>
    <xf numFmtId="168" fontId="20" fillId="29" borderId="46" xfId="0" applyNumberFormat="1" applyFont="1" applyFill="1" applyBorder="1" applyAlignment="1">
      <alignment horizontal="center"/>
    </xf>
    <xf numFmtId="168" fontId="20" fillId="29" borderId="35" xfId="0" applyNumberFormat="1" applyFont="1" applyFill="1" applyBorder="1" applyAlignment="1">
      <alignment horizontal="center"/>
    </xf>
    <xf numFmtId="0" fontId="20" fillId="29" borderId="35" xfId="0" applyFont="1" applyFill="1" applyBorder="1" applyAlignment="1">
      <alignment horizontal="center"/>
    </xf>
    <xf numFmtId="165" fontId="20" fillId="29" borderId="50" xfId="41" applyNumberFormat="1" applyFont="1" applyFill="1" applyBorder="1" applyAlignment="1">
      <alignment horizontal="center"/>
    </xf>
    <xf numFmtId="165" fontId="20" fillId="29" borderId="50" xfId="41" quotePrefix="1" applyNumberFormat="1" applyFont="1" applyFill="1" applyBorder="1" applyAlignment="1">
      <alignment horizontal="center"/>
    </xf>
    <xf numFmtId="3" fontId="26" fillId="29" borderId="50" xfId="0" quotePrefix="1" applyNumberFormat="1" applyFont="1" applyFill="1" applyBorder="1" applyAlignment="1" applyProtection="1">
      <alignment horizontal="right" vertical="top" wrapText="1" readingOrder="1"/>
      <protection locked="0"/>
    </xf>
    <xf numFmtId="164" fontId="20" fillId="29" borderId="54" xfId="29" applyNumberFormat="1" applyFont="1" applyFill="1" applyBorder="1" applyAlignment="1">
      <alignment horizontal="center"/>
    </xf>
    <xf numFmtId="0" fontId="19" fillId="29" borderId="46" xfId="0" applyFont="1" applyFill="1" applyBorder="1" applyAlignment="1">
      <alignment horizontal="center"/>
    </xf>
    <xf numFmtId="0" fontId="19" fillId="29" borderId="54" xfId="0" applyFont="1" applyFill="1" applyBorder="1" applyAlignment="1">
      <alignment horizontal="center"/>
    </xf>
    <xf numFmtId="41" fontId="19" fillId="29" borderId="50" xfId="29" quotePrefix="1" applyFont="1" applyFill="1" applyBorder="1" applyAlignment="1"/>
    <xf numFmtId="164" fontId="19" fillId="29" borderId="22" xfId="29" applyNumberFormat="1" applyFont="1" applyFill="1" applyBorder="1" applyAlignment="1">
      <alignment horizontal="center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29" builtinId="6"/>
    <cellStyle name="Comma [0] 2" xfId="45" xr:uid="{00000000-0005-0000-0000-00001D000000}"/>
    <cellStyle name="Comma [0] 9" xfId="50" xr:uid="{818B9C9C-5631-46DA-B704-4F7C966FFACA}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46" xr:uid="{00000000-0005-0000-0000-000028000000}"/>
    <cellStyle name="Normal 2 2" xfId="47" xr:uid="{00000000-0005-0000-0000-000029000000}"/>
    <cellStyle name="Normal 4" xfId="48" xr:uid="{00000000-0005-0000-0000-00002A000000}"/>
    <cellStyle name="Note" xfId="39" builtinId="10" customBuiltin="1"/>
    <cellStyle name="Output" xfId="40" builtinId="21" customBuiltin="1"/>
    <cellStyle name="Percent" xfId="41" builtinId="5"/>
    <cellStyle name="Percent 2 2 3" xfId="49" xr:uid="{9C53BFF4-2C04-4E1B-B3FD-400EE8A97D85}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colors>
    <mruColors>
      <color rgb="FF6600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mon22c2/1bonds_job/debtproject/Apr03/Cash_Balance_update_6Feb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mon22c2/1bonds_job/Documents%20and%20Settings/Administrator/My%20Documents/Yield%20Curve%20Bulanan%20Januari-Jul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mon22c2/RATING-AGENC/Documents%20and%20Settings/Administrator/My%20Documents/Yield%20Curve%20Bulanan%20Januari-Jul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BB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nd Data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nd 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59"/>
  <sheetViews>
    <sheetView showGridLines="0" view="pageBreakPreview" zoomScaleSheetLayoutView="100" workbookViewId="0">
      <pane xSplit="3" ySplit="3" topLeftCell="L226" activePane="bottomRight" state="frozen"/>
      <selection pane="topRight" activeCell="D1" sqref="D1"/>
      <selection pane="bottomLeft" activeCell="A4" sqref="A4"/>
      <selection pane="bottomRight" activeCell="A5" sqref="A5:O10"/>
    </sheetView>
  </sheetViews>
  <sheetFormatPr defaultColWidth="9.28515625" defaultRowHeight="11.25" x14ac:dyDescent="0.2"/>
  <cols>
    <col min="1" max="2" width="11.28515625" style="2" customWidth="1"/>
    <col min="3" max="3" width="20.7109375" style="2" customWidth="1"/>
    <col min="4" max="4" width="11.28515625" style="2" customWidth="1"/>
    <col min="5" max="9" width="10.7109375" style="2" customWidth="1"/>
    <col min="10" max="11" width="10.28515625" style="2" customWidth="1"/>
    <col min="12" max="12" width="13.42578125" style="2" bestFit="1" customWidth="1"/>
    <col min="13" max="13" width="18.28515625" style="2" bestFit="1" customWidth="1"/>
    <col min="14" max="14" width="16.7109375" style="2" customWidth="1"/>
    <col min="15" max="15" width="16" style="2" bestFit="1" customWidth="1"/>
    <col min="16" max="16" width="10.7109375" style="2" customWidth="1"/>
    <col min="17" max="17" width="11.42578125" style="2" bestFit="1" customWidth="1"/>
    <col min="18" max="18" width="10" style="2" customWidth="1"/>
    <col min="19" max="20" width="12" style="2" bestFit="1" customWidth="1"/>
    <col min="21" max="24" width="9.28515625" style="2"/>
    <col min="25" max="26" width="10.7109375" style="2" bestFit="1" customWidth="1"/>
    <col min="27" max="28" width="9.7109375" style="2" bestFit="1" customWidth="1"/>
    <col min="29" max="16384" width="9.28515625" style="2"/>
  </cols>
  <sheetData>
    <row r="1" spans="1:28" x14ac:dyDescent="0.2">
      <c r="A1" s="1" t="s">
        <v>44</v>
      </c>
      <c r="B1" s="1"/>
    </row>
    <row r="3" spans="1:28" ht="33.75" x14ac:dyDescent="0.2">
      <c r="A3" s="61" t="s">
        <v>0</v>
      </c>
      <c r="B3" s="3" t="s">
        <v>1</v>
      </c>
      <c r="C3" s="4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3" t="s">
        <v>9</v>
      </c>
      <c r="K3" s="3" t="s">
        <v>10</v>
      </c>
      <c r="L3" s="3" t="s">
        <v>11</v>
      </c>
      <c r="M3" s="4" t="s">
        <v>12</v>
      </c>
      <c r="N3" s="3" t="s">
        <v>13</v>
      </c>
      <c r="O3" s="3" t="s">
        <v>14</v>
      </c>
      <c r="P3" s="5" t="s">
        <v>15</v>
      </c>
      <c r="Q3" s="4" t="s">
        <v>16</v>
      </c>
      <c r="R3" s="51"/>
    </row>
    <row r="4" spans="1:28" ht="9.75" customHeight="1" x14ac:dyDescent="0.2">
      <c r="A4" s="6"/>
      <c r="B4" s="7"/>
      <c r="C4" s="8"/>
      <c r="D4" s="9"/>
      <c r="E4" s="10"/>
      <c r="F4" s="10"/>
      <c r="G4" s="10"/>
      <c r="H4" s="10"/>
      <c r="I4" s="10"/>
      <c r="J4" s="11"/>
      <c r="K4" s="12"/>
      <c r="L4" s="13"/>
      <c r="M4" s="14"/>
      <c r="N4" s="13"/>
      <c r="O4" s="13"/>
      <c r="P4" s="15"/>
      <c r="Q4" s="14"/>
      <c r="R4" s="52"/>
    </row>
    <row r="5" spans="1:28" ht="13.5" customHeight="1" x14ac:dyDescent="0.2">
      <c r="A5" s="16">
        <v>2012</v>
      </c>
      <c r="B5" s="1"/>
      <c r="C5" s="17"/>
      <c r="D5" s="18"/>
      <c r="E5" s="19"/>
      <c r="F5" s="19"/>
      <c r="G5" s="19"/>
      <c r="H5" s="19"/>
      <c r="I5" s="19"/>
      <c r="J5" s="20"/>
      <c r="K5" s="20"/>
      <c r="L5" s="21"/>
      <c r="M5" s="22"/>
      <c r="N5" s="23"/>
      <c r="O5" s="21"/>
      <c r="P5" s="24"/>
      <c r="Q5" s="25"/>
      <c r="R5" s="53"/>
    </row>
    <row r="6" spans="1:28" ht="13.5" customHeight="1" x14ac:dyDescent="0.2">
      <c r="A6" s="58">
        <v>40918</v>
      </c>
      <c r="B6" s="59">
        <v>40920</v>
      </c>
      <c r="C6" s="17" t="s">
        <v>38</v>
      </c>
      <c r="D6" s="18">
        <v>41010</v>
      </c>
      <c r="E6" s="48">
        <v>0</v>
      </c>
      <c r="F6" s="26">
        <v>3.8124999999999999E-2</v>
      </c>
      <c r="G6" s="26">
        <v>4.2510300000000001E-2</v>
      </c>
      <c r="H6" s="26">
        <v>4.6249999999999999E-2</v>
      </c>
      <c r="I6" s="26">
        <v>3.8124999999999999E-2</v>
      </c>
      <c r="J6" s="27">
        <v>3.8699999999999998E-2</v>
      </c>
      <c r="K6" s="27">
        <v>3.9375E-2</v>
      </c>
      <c r="L6" s="21">
        <v>7000000</v>
      </c>
      <c r="M6" s="21">
        <v>5340000</v>
      </c>
      <c r="N6" s="21">
        <v>2100000</v>
      </c>
      <c r="O6" s="21">
        <v>1000000</v>
      </c>
      <c r="P6" s="44">
        <f>M6/O6</f>
        <v>5.34</v>
      </c>
      <c r="Q6" s="54">
        <v>0.04</v>
      </c>
      <c r="R6" s="54"/>
      <c r="S6" s="55">
        <f>O6*J6/$R$10</f>
        <v>39656643.565745413</v>
      </c>
      <c r="T6" s="55"/>
      <c r="Y6" s="38">
        <f>SUM(O6:O127)</f>
        <v>169717805</v>
      </c>
      <c r="Z6" s="38">
        <f>Y6-SUM(O11,O78,O80)</f>
        <v>169717805</v>
      </c>
      <c r="AA6" s="38">
        <f>SUM(O6:O63)</f>
        <v>98372805</v>
      </c>
      <c r="AB6" s="38">
        <f>Z6-AA6</f>
        <v>71345000</v>
      </c>
    </row>
    <row r="7" spans="1:28" ht="13.5" customHeight="1" x14ac:dyDescent="0.2">
      <c r="A7" s="58"/>
      <c r="B7" s="80"/>
      <c r="C7" s="17" t="s">
        <v>37</v>
      </c>
      <c r="D7" s="18">
        <v>41285</v>
      </c>
      <c r="E7" s="48"/>
      <c r="F7" s="26">
        <v>4.2500000000000003E-2</v>
      </c>
      <c r="G7" s="26">
        <v>4.64795E-2</v>
      </c>
      <c r="H7" s="26">
        <v>5.0937499999999997E-2</v>
      </c>
      <c r="I7" s="26">
        <v>4.2500000000000003E-2</v>
      </c>
      <c r="J7" s="27">
        <v>4.4999999999999998E-2</v>
      </c>
      <c r="K7" s="27">
        <v>4.5312499999999999E-2</v>
      </c>
      <c r="L7" s="21"/>
      <c r="M7" s="21">
        <v>8400000</v>
      </c>
      <c r="N7" s="21">
        <v>2350000</v>
      </c>
      <c r="O7" s="21">
        <v>2350000</v>
      </c>
      <c r="P7" s="44">
        <f>M7/O7</f>
        <v>3.5744680851063828</v>
      </c>
      <c r="Q7" s="54">
        <v>4.4999999999999998E-2</v>
      </c>
      <c r="R7" s="54"/>
      <c r="S7" s="55"/>
      <c r="T7" s="55"/>
      <c r="Z7" s="38">
        <v>270419408</v>
      </c>
    </row>
    <row r="8" spans="1:28" ht="13.5" customHeight="1" x14ac:dyDescent="0.2">
      <c r="A8" s="16"/>
      <c r="B8" s="1"/>
      <c r="C8" s="17" t="s">
        <v>34</v>
      </c>
      <c r="D8" s="18">
        <v>42840</v>
      </c>
      <c r="E8" s="26">
        <v>6.25E-2</v>
      </c>
      <c r="F8" s="26">
        <v>5.3749999999999999E-2</v>
      </c>
      <c r="G8" s="26">
        <v>5.5071799999999997E-2</v>
      </c>
      <c r="H8" s="26">
        <v>5.7500000000000002E-2</v>
      </c>
      <c r="I8" s="26">
        <v>5.3749999999999999E-2</v>
      </c>
      <c r="J8" s="27">
        <v>5.4477200000000003E-2</v>
      </c>
      <c r="K8" s="27">
        <v>5.5E-2</v>
      </c>
      <c r="L8" s="21"/>
      <c r="M8" s="21">
        <v>2001000</v>
      </c>
      <c r="N8" s="21">
        <v>800000</v>
      </c>
      <c r="O8" s="21">
        <v>800000</v>
      </c>
      <c r="P8" s="44">
        <f>M8/O8</f>
        <v>2.5012500000000002</v>
      </c>
      <c r="Q8" s="54">
        <v>5.45E-2</v>
      </c>
      <c r="R8" s="54">
        <f>O8*J8/$O$218</f>
        <v>1.6228675337265212E-4</v>
      </c>
      <c r="S8" s="55">
        <f>O8*J8/$R$10</f>
        <v>44659078.095293567</v>
      </c>
      <c r="T8" s="55"/>
      <c r="Z8" s="94">
        <f>Z6/Z7</f>
        <v>0.62760955752110814</v>
      </c>
      <c r="AA8" s="94">
        <f>AA6/Z7</f>
        <v>0.36377864195309534</v>
      </c>
      <c r="AB8" s="94">
        <f>AB6/Z7</f>
        <v>0.2638309155680128</v>
      </c>
    </row>
    <row r="9" spans="1:28" ht="13.5" customHeight="1" x14ac:dyDescent="0.2">
      <c r="A9" s="16"/>
      <c r="B9" s="1"/>
      <c r="C9" s="17" t="s">
        <v>35</v>
      </c>
      <c r="D9" s="18">
        <v>44696</v>
      </c>
      <c r="E9" s="26">
        <v>7.0000000000000007E-2</v>
      </c>
      <c r="F9" s="26">
        <v>6.1874999999999999E-2</v>
      </c>
      <c r="G9" s="26">
        <v>6.2820100000000004E-2</v>
      </c>
      <c r="H9" s="26">
        <v>6.4687499999999995E-2</v>
      </c>
      <c r="I9" s="26">
        <v>6.1874999999999999E-2</v>
      </c>
      <c r="J9" s="27">
        <v>6.2399799999999998E-2</v>
      </c>
      <c r="K9" s="27">
        <v>6.25E-2</v>
      </c>
      <c r="L9" s="21"/>
      <c r="M9" s="21">
        <v>4642000</v>
      </c>
      <c r="N9" s="21">
        <v>2200000</v>
      </c>
      <c r="O9" s="21">
        <v>2200000</v>
      </c>
      <c r="P9" s="44">
        <f>M9/O9</f>
        <v>2.11</v>
      </c>
      <c r="Q9" s="54">
        <v>6.2399999999999997E-2</v>
      </c>
      <c r="R9" s="54">
        <f>O9*J9/$O$218</f>
        <v>5.1119216151037034E-4</v>
      </c>
      <c r="S9" s="55">
        <f>O9*J9/$R$10</f>
        <v>140673038.23727033</v>
      </c>
      <c r="T9" s="55"/>
    </row>
    <row r="10" spans="1:28" ht="13.5" customHeight="1" x14ac:dyDescent="0.2">
      <c r="A10" s="16"/>
      <c r="B10" s="1"/>
      <c r="C10" s="17" t="s">
        <v>32</v>
      </c>
      <c r="D10" s="18">
        <v>48380</v>
      </c>
      <c r="E10" s="26">
        <v>8.2500000000000004E-2</v>
      </c>
      <c r="F10" s="26">
        <v>7.1249999999999994E-2</v>
      </c>
      <c r="G10" s="26">
        <v>7.21778E-2</v>
      </c>
      <c r="H10" s="26">
        <v>7.8125E-2</v>
      </c>
      <c r="I10" s="26">
        <v>7.1249999999999994E-2</v>
      </c>
      <c r="J10" s="27">
        <v>7.17999E-2</v>
      </c>
      <c r="K10" s="27">
        <v>7.2187500000000002E-2</v>
      </c>
      <c r="L10" s="21"/>
      <c r="M10" s="21">
        <v>7286000</v>
      </c>
      <c r="N10" s="21">
        <v>3650000</v>
      </c>
      <c r="O10" s="21">
        <v>3650000</v>
      </c>
      <c r="P10" s="44">
        <f>M10/O10</f>
        <v>1.9961643835616438</v>
      </c>
      <c r="Q10" s="54">
        <v>7.1800000000000003E-2</v>
      </c>
      <c r="R10" s="54">
        <f>O10*J10/$O$218</f>
        <v>9.7587683979963086E-4</v>
      </c>
      <c r="S10" s="55">
        <f>O10*J10/$R$10</f>
        <v>268547858</v>
      </c>
      <c r="T10" s="60">
        <f>SUM(S6:S10)</f>
        <v>493536617.89830929</v>
      </c>
    </row>
    <row r="11" spans="1:28" ht="13.5" customHeight="1" x14ac:dyDescent="0.2">
      <c r="A11" s="68">
        <v>40918</v>
      </c>
      <c r="B11" s="66">
        <v>40925</v>
      </c>
      <c r="C11" s="69" t="s">
        <v>39</v>
      </c>
      <c r="D11" s="70">
        <v>51883</v>
      </c>
      <c r="E11" s="71">
        <v>5.2499999999999998E-2</v>
      </c>
      <c r="F11" s="72"/>
      <c r="G11" s="72"/>
      <c r="H11" s="72"/>
      <c r="I11" s="72"/>
      <c r="J11" s="73"/>
      <c r="K11" s="73"/>
      <c r="L11" s="74">
        <v>22630000</v>
      </c>
      <c r="M11" s="75" t="s">
        <v>41</v>
      </c>
      <c r="N11" s="75" t="s">
        <v>40</v>
      </c>
      <c r="O11" s="75" t="s">
        <v>40</v>
      </c>
      <c r="P11" s="76"/>
      <c r="Q11" s="77"/>
      <c r="R11" s="54"/>
      <c r="U11" s="2">
        <f>3600*U12</f>
        <v>32976000</v>
      </c>
      <c r="V11" s="2">
        <f>U12*1750</f>
        <v>16030000</v>
      </c>
      <c r="W11" s="2">
        <f>U12*1750</f>
        <v>16030000</v>
      </c>
    </row>
    <row r="12" spans="1:28" ht="13.5" customHeight="1" x14ac:dyDescent="0.2">
      <c r="A12" s="58"/>
      <c r="B12" s="59"/>
      <c r="C12" s="17"/>
      <c r="D12" s="18"/>
      <c r="E12" s="67"/>
      <c r="F12" s="62"/>
      <c r="G12" s="62"/>
      <c r="H12" s="62"/>
      <c r="I12" s="62"/>
      <c r="J12" s="27"/>
      <c r="K12" s="27"/>
      <c r="L12" s="63"/>
      <c r="M12" s="63">
        <f>U11</f>
        <v>32976000</v>
      </c>
      <c r="N12" s="63">
        <f>V11</f>
        <v>16030000</v>
      </c>
      <c r="O12" s="63">
        <f>W11</f>
        <v>16030000</v>
      </c>
      <c r="P12" s="64">
        <f t="shared" ref="P12:P17" si="0">M12/O12</f>
        <v>2.0571428571428569</v>
      </c>
      <c r="Q12" s="65"/>
      <c r="R12" s="54">
        <f>O12*J12/$O$218</f>
        <v>0</v>
      </c>
      <c r="U12" s="2">
        <v>9160</v>
      </c>
      <c r="Y12" s="2">
        <v>2009</v>
      </c>
      <c r="Z12" s="2">
        <v>29.73</v>
      </c>
      <c r="AA12" s="2">
        <v>30.35</v>
      </c>
      <c r="AB12" s="2">
        <f>Z12+AA12</f>
        <v>60.08</v>
      </c>
    </row>
    <row r="13" spans="1:28" ht="13.5" customHeight="1" x14ac:dyDescent="0.2">
      <c r="A13" s="81">
        <v>40934</v>
      </c>
      <c r="B13" s="82">
        <v>40938</v>
      </c>
      <c r="C13" s="83" t="s">
        <v>42</v>
      </c>
      <c r="D13" s="84">
        <v>41028</v>
      </c>
      <c r="E13" s="85">
        <v>0</v>
      </c>
      <c r="F13" s="86">
        <v>1.7500000000000002E-2</v>
      </c>
      <c r="G13" s="86">
        <v>2.8961600000000001E-2</v>
      </c>
      <c r="H13" s="86">
        <v>4.6875E-2</v>
      </c>
      <c r="I13" s="86">
        <v>1.7500000000000002E-2</v>
      </c>
      <c r="J13" s="87">
        <v>1.92383E-2</v>
      </c>
      <c r="K13" s="87">
        <v>2.1874999999999999E-2</v>
      </c>
      <c r="L13" s="88">
        <v>7000000</v>
      </c>
      <c r="M13" s="88">
        <v>12480000</v>
      </c>
      <c r="N13" s="88">
        <v>10550000</v>
      </c>
      <c r="O13" s="88">
        <v>800000</v>
      </c>
      <c r="P13" s="89">
        <f t="shared" si="0"/>
        <v>15.6</v>
      </c>
      <c r="Q13" s="90">
        <v>2.75E-2</v>
      </c>
      <c r="R13" s="54"/>
      <c r="S13" s="55">
        <f>O13*J13/$R$10</f>
        <v>15771088.494281758</v>
      </c>
      <c r="T13" s="55"/>
      <c r="Y13" s="2">
        <v>2010</v>
      </c>
      <c r="Z13" s="2">
        <v>34.630000000000003</v>
      </c>
      <c r="AA13" s="2">
        <v>35.58</v>
      </c>
      <c r="AB13" s="2">
        <f>Z13+AA13</f>
        <v>70.210000000000008</v>
      </c>
    </row>
    <row r="14" spans="1:28" ht="13.5" customHeight="1" x14ac:dyDescent="0.2">
      <c r="A14" s="92"/>
      <c r="B14" s="91"/>
      <c r="C14" s="83" t="s">
        <v>37</v>
      </c>
      <c r="D14" s="84">
        <v>41285</v>
      </c>
      <c r="E14" s="85">
        <v>0</v>
      </c>
      <c r="F14" s="86">
        <v>3.3750000000000002E-2</v>
      </c>
      <c r="G14" s="86">
        <v>3.8882899999999998E-2</v>
      </c>
      <c r="H14" s="86">
        <v>4.2500000000000003E-2</v>
      </c>
      <c r="I14" s="86">
        <v>3.3750000000000002E-2</v>
      </c>
      <c r="J14" s="87">
        <v>3.3750000000000002E-2</v>
      </c>
      <c r="K14" s="87">
        <v>3.3750000000000002E-2</v>
      </c>
      <c r="L14" s="88"/>
      <c r="M14" s="88">
        <v>12295000</v>
      </c>
      <c r="N14" s="88">
        <v>2000000</v>
      </c>
      <c r="O14" s="88">
        <v>1000000</v>
      </c>
      <c r="P14" s="89">
        <f t="shared" si="0"/>
        <v>12.295</v>
      </c>
      <c r="Q14" s="90">
        <v>3.5000000000000003E-2</v>
      </c>
      <c r="R14" s="54"/>
      <c r="S14" s="55"/>
      <c r="T14" s="55"/>
      <c r="Y14" s="2">
        <v>2011</v>
      </c>
      <c r="Z14" s="2">
        <v>29.53</v>
      </c>
      <c r="AA14" s="2">
        <v>25.94</v>
      </c>
      <c r="AB14" s="2">
        <f>Z14+AA14</f>
        <v>55.47</v>
      </c>
    </row>
    <row r="15" spans="1:28" ht="13.5" customHeight="1" x14ac:dyDescent="0.2">
      <c r="A15" s="92"/>
      <c r="B15" s="93"/>
      <c r="C15" s="83" t="s">
        <v>35</v>
      </c>
      <c r="D15" s="84">
        <v>44696</v>
      </c>
      <c r="E15" s="86">
        <v>7.0000000000000007E-2</v>
      </c>
      <c r="F15" s="86">
        <v>5.5E-2</v>
      </c>
      <c r="G15" s="86">
        <v>5.6320200000000001E-2</v>
      </c>
      <c r="H15" s="86">
        <v>5.7500000000000002E-2</v>
      </c>
      <c r="I15" s="86">
        <v>5.5E-2</v>
      </c>
      <c r="J15" s="87">
        <v>5.5782100000000001E-2</v>
      </c>
      <c r="K15" s="87">
        <v>5.5937500000000001E-2</v>
      </c>
      <c r="L15" s="88"/>
      <c r="M15" s="88">
        <v>6109000</v>
      </c>
      <c r="N15" s="88">
        <v>3600000</v>
      </c>
      <c r="O15" s="88">
        <v>2100000</v>
      </c>
      <c r="P15" s="89">
        <f t="shared" si="0"/>
        <v>2.9090476190476191</v>
      </c>
      <c r="Q15" s="90">
        <v>5.6000000000000001E-2</v>
      </c>
      <c r="R15" s="54">
        <f>O15*J15/$O$218</f>
        <v>4.3620683059032256E-4</v>
      </c>
      <c r="S15" s="55">
        <f>O15*J15/$R$10</f>
        <v>120038108.52202614</v>
      </c>
      <c r="T15" s="55"/>
      <c r="Y15" s="2">
        <v>2012</v>
      </c>
      <c r="AB15" s="2">
        <v>62.76</v>
      </c>
    </row>
    <row r="16" spans="1:28" ht="13.5" customHeight="1" x14ac:dyDescent="0.2">
      <c r="A16" s="92"/>
      <c r="B16" s="93"/>
      <c r="C16" s="83" t="s">
        <v>43</v>
      </c>
      <c r="D16" s="84">
        <v>46522</v>
      </c>
      <c r="E16" s="86">
        <v>7.0000000000000007E-2</v>
      </c>
      <c r="F16" s="86">
        <v>6.1249999999999999E-2</v>
      </c>
      <c r="G16" s="86">
        <v>6.2487399999999999E-2</v>
      </c>
      <c r="H16" s="86">
        <v>6.4687499999999995E-2</v>
      </c>
      <c r="I16" s="86">
        <v>6.1249999999999999E-2</v>
      </c>
      <c r="J16" s="87">
        <v>6.1973399999999998E-2</v>
      </c>
      <c r="K16" s="87">
        <v>6.25E-2</v>
      </c>
      <c r="L16" s="88"/>
      <c r="M16" s="88">
        <v>7421000</v>
      </c>
      <c r="N16" s="88">
        <v>3550000</v>
      </c>
      <c r="O16" s="88">
        <v>3400000</v>
      </c>
      <c r="P16" s="89">
        <f t="shared" si="0"/>
        <v>2.1826470588235294</v>
      </c>
      <c r="Q16" s="90">
        <v>6.2E-2</v>
      </c>
      <c r="R16" s="54">
        <f>O16*J16/$O$218</f>
        <v>7.8462573326501821E-4</v>
      </c>
      <c r="S16" s="55">
        <f>O16*J16/$R$10</f>
        <v>215918189.06498832</v>
      </c>
      <c r="T16" s="55"/>
      <c r="Y16" s="2">
        <v>2013</v>
      </c>
      <c r="AB16" s="2">
        <f>AVERAGE(AB12:AB15)</f>
        <v>62.13</v>
      </c>
    </row>
    <row r="17" spans="1:20" ht="13.5" customHeight="1" x14ac:dyDescent="0.2">
      <c r="A17" s="92"/>
      <c r="B17" s="93"/>
      <c r="C17" s="83" t="s">
        <v>32</v>
      </c>
      <c r="D17" s="84">
        <v>48380</v>
      </c>
      <c r="E17" s="86">
        <v>8.2500000000000004E-2</v>
      </c>
      <c r="F17" s="86">
        <v>5.7500000000000002E-2</v>
      </c>
      <c r="G17" s="86">
        <v>6.7082199999999995E-2</v>
      </c>
      <c r="H17" s="86">
        <v>6.8750000000000006E-2</v>
      </c>
      <c r="I17" s="86">
        <v>5.7500000000000002E-2</v>
      </c>
      <c r="J17" s="87">
        <v>6.64907E-2</v>
      </c>
      <c r="K17" s="87">
        <v>6.6562499999999997E-2</v>
      </c>
      <c r="L17" s="88"/>
      <c r="M17" s="88">
        <v>11829500</v>
      </c>
      <c r="N17" s="88">
        <v>5300000</v>
      </c>
      <c r="O17" s="88">
        <v>3200000</v>
      </c>
      <c r="P17" s="89">
        <f t="shared" si="0"/>
        <v>3.6967187500000001</v>
      </c>
      <c r="Q17" s="90">
        <v>6.6600000000000006E-2</v>
      </c>
      <c r="R17" s="54">
        <f>O17*J17/$O$218</f>
        <v>7.9229915138626799E-4</v>
      </c>
      <c r="S17" s="55">
        <f>O17*J17/$R$10</f>
        <v>218029807.98651439</v>
      </c>
      <c r="T17" s="60">
        <f>SUM(S13:S17)</f>
        <v>569757194.06781054</v>
      </c>
    </row>
    <row r="18" spans="1:20" ht="13.5" customHeight="1" x14ac:dyDescent="0.2">
      <c r="A18" s="58">
        <v>40939</v>
      </c>
      <c r="B18" s="59">
        <v>40941</v>
      </c>
      <c r="C18" s="17" t="s">
        <v>48</v>
      </c>
      <c r="D18" s="18">
        <v>43115</v>
      </c>
      <c r="E18" s="48">
        <v>0</v>
      </c>
      <c r="F18" s="26">
        <v>5.1874999999999998E-2</v>
      </c>
      <c r="G18" s="26"/>
      <c r="H18" s="26">
        <v>6.6250000000000003E-2</v>
      </c>
      <c r="I18" s="26"/>
      <c r="J18" s="27"/>
      <c r="K18" s="27"/>
      <c r="L18" s="21">
        <v>1000000</v>
      </c>
      <c r="M18" s="21">
        <v>573000</v>
      </c>
      <c r="N18" s="21"/>
      <c r="O18" s="21"/>
      <c r="P18" s="44"/>
      <c r="Q18" s="54"/>
      <c r="R18" s="54"/>
      <c r="S18" s="55">
        <f>O18*J18/$R$10</f>
        <v>0</v>
      </c>
      <c r="T18" s="55"/>
    </row>
    <row r="19" spans="1:20" ht="13.5" customHeight="1" x14ac:dyDescent="0.2">
      <c r="A19" s="58"/>
      <c r="B19" s="80"/>
      <c r="C19" s="17" t="s">
        <v>49</v>
      </c>
      <c r="D19" s="18">
        <v>44576</v>
      </c>
      <c r="E19" s="48"/>
      <c r="F19" s="26">
        <v>5.5E-2</v>
      </c>
      <c r="G19" s="26"/>
      <c r="H19" s="26">
        <v>6.5000000000000002E-2</v>
      </c>
      <c r="I19" s="26">
        <v>5.5E-2</v>
      </c>
      <c r="J19" s="27">
        <v>5.5379499999999998E-2</v>
      </c>
      <c r="K19" s="27"/>
      <c r="L19" s="21"/>
      <c r="M19" s="21">
        <v>536000</v>
      </c>
      <c r="N19" s="21">
        <v>415000</v>
      </c>
      <c r="O19" s="21">
        <v>415000</v>
      </c>
      <c r="P19" s="44">
        <f t="shared" ref="P19:P26" si="1">M19/O19</f>
        <v>1.2915662650602409</v>
      </c>
      <c r="Q19" s="54"/>
      <c r="R19" s="54"/>
      <c r="S19" s="55"/>
      <c r="T19" s="55"/>
    </row>
    <row r="20" spans="1:20" ht="13.5" customHeight="1" x14ac:dyDescent="0.2">
      <c r="A20" s="16"/>
      <c r="B20" s="1"/>
      <c r="C20" s="17" t="s">
        <v>50</v>
      </c>
      <c r="D20" s="18">
        <v>46402</v>
      </c>
      <c r="E20" s="26"/>
      <c r="F20" s="26">
        <v>6.0624999999999998E-2</v>
      </c>
      <c r="G20" s="26"/>
      <c r="H20" s="26">
        <v>7.0624999999999993E-2</v>
      </c>
      <c r="I20" s="26">
        <v>6.0624999999999998E-2</v>
      </c>
      <c r="J20" s="27">
        <v>6.2141200000000001E-2</v>
      </c>
      <c r="K20" s="27"/>
      <c r="L20" s="21"/>
      <c r="M20" s="21">
        <v>1391000</v>
      </c>
      <c r="N20" s="21">
        <v>510000</v>
      </c>
      <c r="O20" s="21">
        <v>510000</v>
      </c>
      <c r="P20" s="44">
        <f t="shared" si="1"/>
        <v>2.7274509803921569</v>
      </c>
      <c r="Q20" s="54"/>
      <c r="R20" s="54">
        <f>O20*J20/$O$218</f>
        <v>1.1801252944642738E-4</v>
      </c>
      <c r="S20" s="55">
        <f>O20*J20/$R$10</f>
        <v>32475421.802721612</v>
      </c>
      <c r="T20" s="55"/>
    </row>
    <row r="21" spans="1:20" ht="13.5" customHeight="1" x14ac:dyDescent="0.2">
      <c r="A21" s="16"/>
      <c r="B21" s="1"/>
      <c r="C21" s="17" t="s">
        <v>51</v>
      </c>
      <c r="D21" s="18">
        <v>49720</v>
      </c>
      <c r="E21" s="26">
        <v>0.1</v>
      </c>
      <c r="F21" s="26">
        <v>6.5625000000000003E-2</v>
      </c>
      <c r="G21" s="26"/>
      <c r="H21" s="26">
        <v>7.4999999999999997E-2</v>
      </c>
      <c r="I21" s="26">
        <v>6.5625000000000003E-2</v>
      </c>
      <c r="J21" s="27">
        <v>6.8074800000000005E-2</v>
      </c>
      <c r="K21" s="27"/>
      <c r="L21" s="21"/>
      <c r="M21" s="21">
        <v>1676000</v>
      </c>
      <c r="N21" s="21">
        <v>400000</v>
      </c>
      <c r="O21" s="21">
        <v>400000</v>
      </c>
      <c r="P21" s="44">
        <f t="shared" si="1"/>
        <v>4.1900000000000004</v>
      </c>
      <c r="Q21" s="54"/>
      <c r="R21" s="54">
        <f>O21*J21/$O$218</f>
        <v>1.0139689887230455E-4</v>
      </c>
      <c r="S21" s="55">
        <f>O21*J21/$R$10</f>
        <v>27903029.244541667</v>
      </c>
      <c r="T21" s="55"/>
    </row>
    <row r="22" spans="1:20" ht="13.5" customHeight="1" x14ac:dyDescent="0.2">
      <c r="A22" s="81">
        <v>40946</v>
      </c>
      <c r="B22" s="82">
        <v>40948</v>
      </c>
      <c r="C22" s="83" t="s">
        <v>45</v>
      </c>
      <c r="D22" s="84">
        <v>41037</v>
      </c>
      <c r="E22" s="85">
        <v>0</v>
      </c>
      <c r="F22" s="86">
        <v>1.4999999999999999E-2</v>
      </c>
      <c r="G22" s="86">
        <v>1.99528E-2</v>
      </c>
      <c r="H22" s="86">
        <v>3.2500000000000001E-2</v>
      </c>
      <c r="I22" s="86">
        <v>1.4999999999999999E-2</v>
      </c>
      <c r="J22" s="87">
        <v>1.6862499999999999E-2</v>
      </c>
      <c r="K22" s="87">
        <v>1.90625E-2</v>
      </c>
      <c r="L22" s="88">
        <v>8000000</v>
      </c>
      <c r="M22" s="88">
        <v>4535000</v>
      </c>
      <c r="N22" s="88">
        <v>4535000</v>
      </c>
      <c r="O22" s="88">
        <v>1000000</v>
      </c>
      <c r="P22" s="89">
        <f t="shared" si="1"/>
        <v>4.5350000000000001</v>
      </c>
      <c r="Q22" s="90">
        <v>0.02</v>
      </c>
      <c r="R22" s="54"/>
      <c r="S22" s="55">
        <f>O22*J22/$R$10</f>
        <v>17279332.09631478</v>
      </c>
      <c r="T22" s="55"/>
    </row>
    <row r="23" spans="1:20" ht="13.5" customHeight="1" x14ac:dyDescent="0.2">
      <c r="A23" s="92"/>
      <c r="B23" s="91"/>
      <c r="C23" s="83" t="s">
        <v>46</v>
      </c>
      <c r="D23" s="84">
        <v>41313</v>
      </c>
      <c r="E23" s="85">
        <v>0</v>
      </c>
      <c r="F23" s="86">
        <v>0.03</v>
      </c>
      <c r="G23" s="86">
        <v>3.3719499999999999E-2</v>
      </c>
      <c r="H23" s="86">
        <v>4.4374999999999998E-2</v>
      </c>
      <c r="I23" s="86">
        <v>0.03</v>
      </c>
      <c r="J23" s="87">
        <v>3.0232100000000001E-2</v>
      </c>
      <c r="K23" s="87">
        <v>3.125E-2</v>
      </c>
      <c r="L23" s="88"/>
      <c r="M23" s="88">
        <v>6075000</v>
      </c>
      <c r="N23" s="88">
        <v>6075000</v>
      </c>
      <c r="O23" s="88">
        <v>1000000</v>
      </c>
      <c r="P23" s="89">
        <f t="shared" si="1"/>
        <v>6.0750000000000002</v>
      </c>
      <c r="Q23" s="90">
        <v>3.5000000000000003E-2</v>
      </c>
      <c r="R23" s="54"/>
      <c r="S23" s="55"/>
      <c r="T23" s="55"/>
    </row>
    <row r="24" spans="1:20" ht="13.5" customHeight="1" x14ac:dyDescent="0.2">
      <c r="A24" s="92"/>
      <c r="B24" s="93"/>
      <c r="C24" s="83" t="s">
        <v>43</v>
      </c>
      <c r="D24" s="84">
        <v>46522</v>
      </c>
      <c r="E24" s="86">
        <v>7.0000000000000007E-2</v>
      </c>
      <c r="F24" s="86">
        <v>5.6562500000000002E-2</v>
      </c>
      <c r="G24" s="86">
        <v>5.7902200000000001E-2</v>
      </c>
      <c r="H24" s="86">
        <v>5.9062499999999997E-2</v>
      </c>
      <c r="I24" s="86">
        <v>5.6562500000000002E-2</v>
      </c>
      <c r="J24" s="87">
        <v>5.7464300000000003E-2</v>
      </c>
      <c r="K24" s="87">
        <v>5.7500000000000002E-2</v>
      </c>
      <c r="L24" s="88"/>
      <c r="M24" s="88">
        <v>8177000</v>
      </c>
      <c r="N24" s="88">
        <v>4100000</v>
      </c>
      <c r="O24" s="88">
        <v>3450000</v>
      </c>
      <c r="P24" s="89">
        <f t="shared" si="1"/>
        <v>2.3701449275362321</v>
      </c>
      <c r="Q24" s="90">
        <v>5.7500000000000002E-2</v>
      </c>
      <c r="R24" s="54">
        <f>O24*J24/$O$24</f>
        <v>5.7464300000000003E-2</v>
      </c>
      <c r="S24" s="55">
        <f>O24*J24/$R$10</f>
        <v>203152515.68087783</v>
      </c>
      <c r="T24" s="55"/>
    </row>
    <row r="25" spans="1:20" ht="13.5" customHeight="1" x14ac:dyDescent="0.2">
      <c r="A25" s="92"/>
      <c r="B25" s="93"/>
      <c r="C25" s="83" t="s">
        <v>32</v>
      </c>
      <c r="D25" s="84">
        <v>48380</v>
      </c>
      <c r="E25" s="86">
        <v>8.2500000000000004E-2</v>
      </c>
      <c r="F25" s="86">
        <v>6.1249999999999999E-2</v>
      </c>
      <c r="G25" s="86">
        <v>6.2410500000000001E-2</v>
      </c>
      <c r="H25" s="86">
        <v>6.4687499999999995E-2</v>
      </c>
      <c r="I25" s="86">
        <v>6.1249999999999999E-2</v>
      </c>
      <c r="J25" s="87">
        <v>6.1781299999999997E-2</v>
      </c>
      <c r="K25" s="87">
        <v>6.1874999999999999E-2</v>
      </c>
      <c r="L25" s="88"/>
      <c r="M25" s="88">
        <v>9233500</v>
      </c>
      <c r="N25" s="88">
        <v>7350000</v>
      </c>
      <c r="O25" s="88">
        <v>2000000</v>
      </c>
      <c r="P25" s="89">
        <f t="shared" si="1"/>
        <v>4.6167499999999997</v>
      </c>
      <c r="Q25" s="90">
        <v>6.2199999999999998E-2</v>
      </c>
      <c r="R25" s="54">
        <f>O25*J25/$O$24</f>
        <v>3.5815246376811591E-2</v>
      </c>
      <c r="S25" s="55">
        <f>O25*J25/$R$10</f>
        <v>126617002.2288572</v>
      </c>
      <c r="T25" s="55"/>
    </row>
    <row r="26" spans="1:20" ht="13.5" customHeight="1" x14ac:dyDescent="0.2">
      <c r="A26" s="92"/>
      <c r="B26" s="93"/>
      <c r="C26" s="83" t="s">
        <v>47</v>
      </c>
      <c r="D26" s="84">
        <v>51971</v>
      </c>
      <c r="E26" s="86">
        <v>6.3750000000000001E-2</v>
      </c>
      <c r="F26" s="86">
        <v>6.3125000000000001E-2</v>
      </c>
      <c r="G26" s="86">
        <v>6.5730700000000003E-2</v>
      </c>
      <c r="H26" s="86">
        <v>7.0000000000000007E-2</v>
      </c>
      <c r="I26" s="86">
        <v>6.3125000000000001E-2</v>
      </c>
      <c r="J26" s="87">
        <v>6.4899399999999996E-2</v>
      </c>
      <c r="K26" s="87">
        <v>6.5000000000000002E-2</v>
      </c>
      <c r="L26" s="88"/>
      <c r="M26" s="88">
        <v>14362500</v>
      </c>
      <c r="N26" s="88">
        <v>6000000</v>
      </c>
      <c r="O26" s="88">
        <v>4550000</v>
      </c>
      <c r="P26" s="89">
        <f t="shared" si="1"/>
        <v>3.1565934065934065</v>
      </c>
      <c r="Q26" s="90">
        <v>6.5000000000000002E-2</v>
      </c>
      <c r="R26" s="54">
        <f>O26*J26/$O$24</f>
        <v>8.5591962318840573E-2</v>
      </c>
      <c r="S26" s="55">
        <f>O26*J26/$R$10</f>
        <v>302591738.99508673</v>
      </c>
      <c r="T26" s="60">
        <f>SUM(S22:S26)</f>
        <v>649640589.00113654</v>
      </c>
    </row>
    <row r="27" spans="1:20" ht="13.5" customHeight="1" x14ac:dyDescent="0.2">
      <c r="A27" s="58">
        <v>40953</v>
      </c>
      <c r="B27" s="59">
        <v>40955</v>
      </c>
      <c r="C27" s="17" t="s">
        <v>52</v>
      </c>
      <c r="D27" s="18"/>
      <c r="E27" s="48">
        <v>0</v>
      </c>
      <c r="F27" s="26">
        <v>3.7187499999999998E-2</v>
      </c>
      <c r="G27" s="26"/>
      <c r="H27" s="26">
        <v>4.2500000000000003E-2</v>
      </c>
      <c r="I27" s="26"/>
      <c r="J27" s="27"/>
      <c r="K27" s="27"/>
      <c r="L27" s="21">
        <v>1000000</v>
      </c>
      <c r="M27" s="21">
        <v>2331000</v>
      </c>
      <c r="N27" s="21"/>
      <c r="O27" s="21"/>
      <c r="P27" s="44"/>
      <c r="Q27" s="54"/>
      <c r="R27" s="54"/>
      <c r="S27" s="55">
        <f>O27*J27/$R$10</f>
        <v>0</v>
      </c>
      <c r="T27" s="55"/>
    </row>
    <row r="28" spans="1:20" ht="13.5" customHeight="1" x14ac:dyDescent="0.2">
      <c r="A28" s="58"/>
      <c r="B28" s="80"/>
      <c r="C28" s="17" t="s">
        <v>48</v>
      </c>
      <c r="D28" s="18">
        <v>43146</v>
      </c>
      <c r="E28" s="95">
        <v>4.4499999999999998E-2</v>
      </c>
      <c r="F28" s="26">
        <v>4.71875E-2</v>
      </c>
      <c r="G28" s="26"/>
      <c r="H28" s="26">
        <v>4.65625E-2</v>
      </c>
      <c r="I28" s="26">
        <v>4.71875E-2</v>
      </c>
      <c r="J28" s="26">
        <v>4.71875E-2</v>
      </c>
      <c r="K28" s="27"/>
      <c r="L28" s="21"/>
      <c r="M28" s="21">
        <v>246000</v>
      </c>
      <c r="N28" s="21">
        <v>25000</v>
      </c>
      <c r="O28" s="21">
        <v>25000</v>
      </c>
      <c r="P28" s="44">
        <f t="shared" ref="P28:P37" si="2">M28/O28</f>
        <v>9.84</v>
      </c>
      <c r="Q28" s="54"/>
      <c r="R28" s="54"/>
      <c r="S28" s="55"/>
      <c r="T28" s="55"/>
    </row>
    <row r="29" spans="1:20" ht="13.5" customHeight="1" x14ac:dyDescent="0.2">
      <c r="A29" s="16"/>
      <c r="B29" s="1"/>
      <c r="C29" s="17" t="s">
        <v>49</v>
      </c>
      <c r="D29" s="18">
        <v>44576</v>
      </c>
      <c r="E29" s="48"/>
      <c r="F29" s="26">
        <v>5.3124999999999999E-2</v>
      </c>
      <c r="G29" s="26"/>
      <c r="H29" s="26">
        <v>5.7500000000000002E-2</v>
      </c>
      <c r="I29" s="26"/>
      <c r="J29" s="27"/>
      <c r="K29" s="27"/>
      <c r="L29" s="21"/>
      <c r="M29" s="21">
        <v>219000</v>
      </c>
      <c r="N29" s="21"/>
      <c r="O29" s="21"/>
      <c r="P29" s="44"/>
      <c r="Q29" s="54"/>
      <c r="R29" s="54">
        <f>O29*J29/$O$218</f>
        <v>0</v>
      </c>
      <c r="S29" s="55">
        <f>O29*J29/$R$10</f>
        <v>0</v>
      </c>
      <c r="T29" s="55"/>
    </row>
    <row r="30" spans="1:20" ht="13.5" customHeight="1" x14ac:dyDescent="0.2">
      <c r="A30" s="16"/>
      <c r="B30" s="1"/>
      <c r="C30" s="17" t="s">
        <v>50</v>
      </c>
      <c r="D30" s="18">
        <v>46402</v>
      </c>
      <c r="E30" s="26">
        <v>0.06</v>
      </c>
      <c r="F30" s="26">
        <v>5.7187500000000002E-2</v>
      </c>
      <c r="G30" s="26"/>
      <c r="H30" s="26">
        <v>6.3125000000000001E-2</v>
      </c>
      <c r="I30" s="26">
        <v>5.7187500000000002E-2</v>
      </c>
      <c r="J30" s="27">
        <v>5.7500000000000002E-2</v>
      </c>
      <c r="K30" s="27"/>
      <c r="L30" s="21"/>
      <c r="M30" s="21">
        <v>476000</v>
      </c>
      <c r="N30" s="21">
        <v>100000</v>
      </c>
      <c r="O30" s="21">
        <v>100000</v>
      </c>
      <c r="P30" s="44">
        <f t="shared" si="2"/>
        <v>4.76</v>
      </c>
      <c r="Q30" s="54"/>
      <c r="R30" s="54"/>
      <c r="S30" s="55"/>
      <c r="T30" s="55"/>
    </row>
    <row r="31" spans="1:20" ht="13.5" customHeight="1" x14ac:dyDescent="0.2">
      <c r="A31" s="16"/>
      <c r="B31" s="1"/>
      <c r="C31" s="17" t="s">
        <v>53</v>
      </c>
      <c r="D31" s="18">
        <v>50086</v>
      </c>
      <c r="E31" s="26">
        <v>6.0999999999999999E-2</v>
      </c>
      <c r="F31" s="26">
        <v>6.1562499999999999E-2</v>
      </c>
      <c r="G31" s="26"/>
      <c r="H31" s="26">
        <v>7.0000000000000007E-2</v>
      </c>
      <c r="I31" s="26">
        <v>6.1562499999999999E-2</v>
      </c>
      <c r="J31" s="27">
        <v>6.2482999999999997E-2</v>
      </c>
      <c r="K31" s="27"/>
      <c r="L31" s="21"/>
      <c r="M31" s="21">
        <v>3784000</v>
      </c>
      <c r="N31" s="21">
        <v>2050000</v>
      </c>
      <c r="O31" s="21">
        <v>2050000</v>
      </c>
      <c r="P31" s="44">
        <f t="shared" si="2"/>
        <v>1.8458536585365855</v>
      </c>
      <c r="Q31" s="54"/>
      <c r="R31" s="54">
        <f>O31*J31/$O$218</f>
        <v>4.7697327006793698E-4</v>
      </c>
      <c r="S31" s="55">
        <f>O31*J31/$R$10</f>
        <v>131256470.87423423</v>
      </c>
      <c r="T31" s="55"/>
    </row>
    <row r="32" spans="1:20" ht="13.5" customHeight="1" x14ac:dyDescent="0.2">
      <c r="A32" s="81">
        <v>40960</v>
      </c>
      <c r="B32" s="82">
        <v>40962</v>
      </c>
      <c r="C32" s="83" t="s">
        <v>54</v>
      </c>
      <c r="D32" s="84">
        <v>41051</v>
      </c>
      <c r="E32" s="85">
        <v>0</v>
      </c>
      <c r="F32" s="86">
        <v>2.0937500000000001E-2</v>
      </c>
      <c r="G32" s="86">
        <v>2.6657799999999999E-2</v>
      </c>
      <c r="H32" s="86">
        <v>3.5000000000000003E-2</v>
      </c>
      <c r="I32" s="86">
        <v>2.0937500000000001E-2</v>
      </c>
      <c r="J32" s="87">
        <v>2.2009399999999998E-2</v>
      </c>
      <c r="K32" s="87">
        <v>2.3125E-2</v>
      </c>
      <c r="L32" s="88">
        <v>8000000</v>
      </c>
      <c r="M32" s="88">
        <v>2360000</v>
      </c>
      <c r="N32" s="88">
        <v>1200000</v>
      </c>
      <c r="O32" s="88">
        <v>1000000</v>
      </c>
      <c r="P32" s="89">
        <f t="shared" si="2"/>
        <v>2.36</v>
      </c>
      <c r="Q32" s="90">
        <v>2.2599999999999999E-2</v>
      </c>
      <c r="R32" s="54"/>
      <c r="S32" s="55">
        <f>O32*J32/$R$10</f>
        <v>22553460.746664524</v>
      </c>
      <c r="T32" s="55"/>
    </row>
    <row r="33" spans="1:20" ht="13.5" customHeight="1" x14ac:dyDescent="0.2">
      <c r="A33" s="92"/>
      <c r="B33" s="91"/>
      <c r="C33" s="83" t="s">
        <v>55</v>
      </c>
      <c r="D33" s="84">
        <v>41285</v>
      </c>
      <c r="E33" s="85">
        <v>0</v>
      </c>
      <c r="F33" s="86">
        <v>3.125E-2</v>
      </c>
      <c r="G33" s="86">
        <v>3.5607899999999998E-2</v>
      </c>
      <c r="H33" s="86">
        <v>0.04</v>
      </c>
      <c r="I33" s="86">
        <v>3.125E-2</v>
      </c>
      <c r="J33" s="87">
        <v>3.31667E-2</v>
      </c>
      <c r="K33" s="87">
        <v>3.3750000000000002E-2</v>
      </c>
      <c r="L33" s="88"/>
      <c r="M33" s="88">
        <v>3380000</v>
      </c>
      <c r="N33" s="88">
        <v>750000</v>
      </c>
      <c r="O33" s="88">
        <v>750000</v>
      </c>
      <c r="P33" s="89">
        <f t="shared" si="2"/>
        <v>4.5066666666666668</v>
      </c>
      <c r="Q33" s="90">
        <v>3.32E-2</v>
      </c>
      <c r="R33" s="54"/>
      <c r="S33" s="55"/>
      <c r="T33" s="55"/>
    </row>
    <row r="34" spans="1:20" ht="13.5" customHeight="1" x14ac:dyDescent="0.2">
      <c r="A34" s="92"/>
      <c r="B34" s="93"/>
      <c r="C34" s="83" t="s">
        <v>35</v>
      </c>
      <c r="D34" s="84">
        <v>44696</v>
      </c>
      <c r="E34" s="86">
        <v>7.0000000000000007E-2</v>
      </c>
      <c r="F34" s="86">
        <v>5.1562499999999997E-2</v>
      </c>
      <c r="G34" s="86">
        <v>5.2656099999999997E-2</v>
      </c>
      <c r="H34" s="86">
        <v>5.3749999999999999E-2</v>
      </c>
      <c r="I34" s="86">
        <v>5.1562499999999997E-2</v>
      </c>
      <c r="J34" s="87">
        <v>5.2357800000000003E-2</v>
      </c>
      <c r="K34" s="87">
        <v>5.2499999999999998E-2</v>
      </c>
      <c r="L34" s="88"/>
      <c r="M34" s="88">
        <v>4294000</v>
      </c>
      <c r="N34" s="88">
        <v>2150000</v>
      </c>
      <c r="O34" s="88">
        <v>1950000</v>
      </c>
      <c r="P34" s="89">
        <f t="shared" si="2"/>
        <v>2.2020512820512819</v>
      </c>
      <c r="Q34" s="90">
        <v>5.2400000000000002E-2</v>
      </c>
      <c r="R34" s="54" t="e">
        <f>O34*J34/$O$29</f>
        <v>#DIV/0!</v>
      </c>
      <c r="S34" s="55">
        <f>O34*J34/$R$10</f>
        <v>104621511.48188221</v>
      </c>
      <c r="T34" s="55"/>
    </row>
    <row r="35" spans="1:20" ht="13.5" customHeight="1" x14ac:dyDescent="0.2">
      <c r="A35" s="92"/>
      <c r="B35" s="93"/>
      <c r="C35" s="83" t="s">
        <v>32</v>
      </c>
      <c r="D35" s="84">
        <v>48380</v>
      </c>
      <c r="E35" s="86">
        <v>8.2500000000000004E-2</v>
      </c>
      <c r="F35" s="86">
        <v>6.0624999999999998E-2</v>
      </c>
      <c r="G35" s="86">
        <v>6.1441099999999998E-2</v>
      </c>
      <c r="H35" s="86">
        <v>6.25E-2</v>
      </c>
      <c r="I35" s="86">
        <v>6.0624999999999998E-2</v>
      </c>
      <c r="J35" s="87">
        <v>6.09974E-2</v>
      </c>
      <c r="K35" s="87">
        <v>6.1249999999999999E-2</v>
      </c>
      <c r="L35" s="88"/>
      <c r="M35" s="88">
        <v>5631000</v>
      </c>
      <c r="N35" s="88">
        <v>2600000</v>
      </c>
      <c r="O35" s="88">
        <v>2600000</v>
      </c>
      <c r="P35" s="89">
        <f t="shared" si="2"/>
        <v>2.1657692307692309</v>
      </c>
      <c r="Q35" s="90">
        <v>6.0999999999999999E-2</v>
      </c>
      <c r="R35" s="54" t="e">
        <f>O35*J35/$O$29</f>
        <v>#DIV/0!</v>
      </c>
      <c r="S35" s="55">
        <f>O35*J35/$R$10</f>
        <v>162513581.15288678</v>
      </c>
      <c r="T35" s="55"/>
    </row>
    <row r="36" spans="1:20" ht="13.5" customHeight="1" x14ac:dyDescent="0.2">
      <c r="A36" s="92"/>
      <c r="B36" s="93"/>
      <c r="C36" s="83" t="s">
        <v>47</v>
      </c>
      <c r="D36" s="84">
        <v>51971</v>
      </c>
      <c r="E36" s="86">
        <v>6.3750000000000001E-2</v>
      </c>
      <c r="F36" s="86">
        <v>6.0937499999999999E-2</v>
      </c>
      <c r="G36" s="86">
        <v>6.2096600000000002E-2</v>
      </c>
      <c r="H36" s="86">
        <v>6.5000000000000002E-2</v>
      </c>
      <c r="I36" s="86">
        <v>6.0937499999999999E-2</v>
      </c>
      <c r="J36" s="87">
        <v>6.1901900000000003E-2</v>
      </c>
      <c r="K36" s="87">
        <v>6.25E-2</v>
      </c>
      <c r="L36" s="88"/>
      <c r="M36" s="88">
        <v>6600500</v>
      </c>
      <c r="N36" s="88">
        <v>6350000</v>
      </c>
      <c r="O36" s="88">
        <v>5700000</v>
      </c>
      <c r="P36" s="89">
        <f t="shared" si="2"/>
        <v>1.1579824561403509</v>
      </c>
      <c r="Q36" s="90">
        <v>6.2E-2</v>
      </c>
      <c r="R36" s="54" t="e">
        <f>O36*J36/$O$29</f>
        <v>#DIV/0!</v>
      </c>
      <c r="S36" s="55">
        <f>O36*J36/$R$10</f>
        <v>361562869.01167369</v>
      </c>
      <c r="T36" s="60">
        <f>SUM(S32:S36)</f>
        <v>651251422.39310718</v>
      </c>
    </row>
    <row r="37" spans="1:20" ht="13.5" customHeight="1" x14ac:dyDescent="0.2">
      <c r="A37" s="58">
        <v>40962</v>
      </c>
      <c r="B37" s="59">
        <v>40966</v>
      </c>
      <c r="C37" s="17" t="s">
        <v>48</v>
      </c>
      <c r="D37" s="18">
        <v>43146</v>
      </c>
      <c r="E37" s="96">
        <v>4.4499999999999998E-2</v>
      </c>
      <c r="F37" s="26">
        <v>4.4687499999999998E-2</v>
      </c>
      <c r="G37" s="26"/>
      <c r="H37" s="26">
        <v>0.06</v>
      </c>
      <c r="I37" s="26">
        <v>4.4687499999999998E-2</v>
      </c>
      <c r="J37" s="27">
        <v>4.4687499999999998E-2</v>
      </c>
      <c r="K37" s="27"/>
      <c r="L37" s="21">
        <v>1000000</v>
      </c>
      <c r="M37" s="21">
        <v>246000</v>
      </c>
      <c r="N37" s="21">
        <v>25000</v>
      </c>
      <c r="O37" s="21">
        <v>25000</v>
      </c>
      <c r="P37" s="44">
        <f t="shared" si="2"/>
        <v>9.84</v>
      </c>
      <c r="Q37" s="54"/>
      <c r="R37" s="54"/>
      <c r="S37" s="55">
        <f>O37*J37/$R$10</f>
        <v>1144803.7851061034</v>
      </c>
      <c r="T37" s="55"/>
    </row>
    <row r="38" spans="1:20" ht="13.5" customHeight="1" x14ac:dyDescent="0.2">
      <c r="A38" s="58"/>
      <c r="B38" s="80"/>
      <c r="C38" s="17" t="s">
        <v>49</v>
      </c>
      <c r="D38" s="18">
        <v>44576</v>
      </c>
      <c r="E38" s="96">
        <v>5.45E-2</v>
      </c>
      <c r="F38" s="26">
        <v>5.4375E-2</v>
      </c>
      <c r="G38" s="26"/>
      <c r="H38" s="26">
        <v>6.5000000000000002E-2</v>
      </c>
      <c r="I38" s="26">
        <v>5.4375E-2</v>
      </c>
      <c r="J38" s="26">
        <v>5.5E-2</v>
      </c>
      <c r="K38" s="27"/>
      <c r="L38" s="21"/>
      <c r="M38" s="21">
        <v>196000</v>
      </c>
      <c r="N38" s="21">
        <v>170000</v>
      </c>
      <c r="O38" s="21">
        <v>170000</v>
      </c>
      <c r="P38" s="44">
        <f>M38/O38</f>
        <v>1.1529411764705881</v>
      </c>
      <c r="Q38" s="54"/>
      <c r="R38" s="54"/>
      <c r="S38" s="55"/>
      <c r="T38" s="55"/>
    </row>
    <row r="39" spans="1:20" ht="13.5" customHeight="1" x14ac:dyDescent="0.2">
      <c r="A39" s="16"/>
      <c r="B39" s="1"/>
      <c r="C39" s="17" t="s">
        <v>50</v>
      </c>
      <c r="D39" s="18">
        <v>46402</v>
      </c>
      <c r="E39" s="26">
        <v>0.06</v>
      </c>
      <c r="F39" s="26">
        <v>5.7500000000000002E-2</v>
      </c>
      <c r="G39" s="26"/>
      <c r="H39" s="26">
        <v>7.0000000000000007E-2</v>
      </c>
      <c r="I39" s="26">
        <v>5.7500000000000002E-2</v>
      </c>
      <c r="J39" s="27">
        <v>5.7782300000000002E-2</v>
      </c>
      <c r="K39" s="27"/>
      <c r="L39" s="21"/>
      <c r="M39" s="21">
        <v>115000</v>
      </c>
      <c r="N39" s="21">
        <v>77000</v>
      </c>
      <c r="O39" s="21">
        <v>77000</v>
      </c>
      <c r="P39" s="44">
        <f>M39/O39</f>
        <v>1.4935064935064934</v>
      </c>
      <c r="Q39" s="54"/>
      <c r="R39" s="54">
        <f>O39*J39/$O$218</f>
        <v>1.6567762383716351E-5</v>
      </c>
      <c r="S39" s="55">
        <f>O39*J39/$R$10</f>
        <v>4559219.8918395555</v>
      </c>
      <c r="T39" s="55"/>
    </row>
    <row r="40" spans="1:20" ht="13.5" customHeight="1" x14ac:dyDescent="0.2">
      <c r="A40" s="16"/>
      <c r="B40" s="1"/>
      <c r="C40" s="17" t="s">
        <v>53</v>
      </c>
      <c r="D40" s="18">
        <v>50086</v>
      </c>
      <c r="E40" s="26">
        <v>6.0999999999999999E-2</v>
      </c>
      <c r="F40" s="26">
        <v>6.25E-2</v>
      </c>
      <c r="G40" s="26"/>
      <c r="H40" s="26">
        <v>7.2499999999999995E-2</v>
      </c>
      <c r="I40" s="26">
        <v>6.25E-2</v>
      </c>
      <c r="J40" s="27">
        <v>6.2923099999999996E-2</v>
      </c>
      <c r="K40" s="27"/>
      <c r="L40" s="21"/>
      <c r="M40" s="21">
        <v>1569500</v>
      </c>
      <c r="N40" s="21">
        <v>1200000</v>
      </c>
      <c r="O40" s="21">
        <v>1200000</v>
      </c>
      <c r="P40" s="44">
        <f>M40/O40</f>
        <v>1.3079166666666666</v>
      </c>
      <c r="Q40" s="54"/>
      <c r="R40" s="54"/>
      <c r="S40" s="55"/>
      <c r="T40" s="55"/>
    </row>
    <row r="41" spans="1:20" ht="13.5" customHeight="1" x14ac:dyDescent="0.2">
      <c r="A41" s="81">
        <v>40974</v>
      </c>
      <c r="B41" s="82">
        <v>40976</v>
      </c>
      <c r="C41" s="83" t="s">
        <v>56</v>
      </c>
      <c r="D41" s="84">
        <v>41067</v>
      </c>
      <c r="E41" s="85">
        <v>0</v>
      </c>
      <c r="F41" s="86">
        <v>0.03</v>
      </c>
      <c r="G41" s="86">
        <v>3.64967E-2</v>
      </c>
      <c r="H41" s="86">
        <v>4.2500000000000003E-2</v>
      </c>
      <c r="I41" s="86">
        <v>0.03</v>
      </c>
      <c r="J41" s="87">
        <v>0.03</v>
      </c>
      <c r="K41" s="87">
        <v>0.03</v>
      </c>
      <c r="L41" s="88">
        <v>5000000</v>
      </c>
      <c r="M41" s="88">
        <v>1900000</v>
      </c>
      <c r="N41" s="88">
        <v>500000</v>
      </c>
      <c r="O41" s="88">
        <v>500000</v>
      </c>
      <c r="P41" s="89">
        <f>M41/O41</f>
        <v>3.8</v>
      </c>
      <c r="Q41" s="90">
        <v>0.03</v>
      </c>
      <c r="R41" s="54"/>
      <c r="S41" s="55">
        <f>O41*J41/$R$10</f>
        <v>15370792.079746285</v>
      </c>
      <c r="T41" s="55"/>
    </row>
    <row r="42" spans="1:20" ht="13.5" customHeight="1" x14ac:dyDescent="0.2">
      <c r="A42" s="92"/>
      <c r="B42" s="91"/>
      <c r="C42" s="83" t="s">
        <v>57</v>
      </c>
      <c r="D42" s="84">
        <v>41312</v>
      </c>
      <c r="E42" s="85">
        <v>0</v>
      </c>
      <c r="F42" s="86">
        <v>4.0625000000000001E-2</v>
      </c>
      <c r="G42" s="86">
        <v>4.3482100000000003E-2</v>
      </c>
      <c r="H42" s="86">
        <v>4.5624999999999999E-2</v>
      </c>
      <c r="I42" s="86">
        <v>4.0625000000000001E-2</v>
      </c>
      <c r="J42" s="87">
        <v>4.0625000000000001E-2</v>
      </c>
      <c r="K42" s="87">
        <v>4.0625000000000001E-2</v>
      </c>
      <c r="L42" s="88"/>
      <c r="M42" s="88">
        <v>2025000</v>
      </c>
      <c r="N42" s="88">
        <v>1100000</v>
      </c>
      <c r="O42" s="88">
        <v>1100000</v>
      </c>
      <c r="P42" s="89">
        <f>M42/O42</f>
        <v>1.8409090909090908</v>
      </c>
      <c r="Q42" s="90">
        <v>4.07E-2</v>
      </c>
      <c r="R42" s="54"/>
      <c r="S42" s="55"/>
      <c r="T42" s="55"/>
    </row>
    <row r="43" spans="1:20" ht="13.5" customHeight="1" x14ac:dyDescent="0.2">
      <c r="A43" s="92"/>
      <c r="B43" s="93"/>
      <c r="C43" s="83" t="s">
        <v>34</v>
      </c>
      <c r="D43" s="84">
        <v>42840</v>
      </c>
      <c r="E43" s="86">
        <v>6.25E-2</v>
      </c>
      <c r="F43" s="86">
        <v>4.9687500000000002E-2</v>
      </c>
      <c r="G43" s="86">
        <v>5.1496300000000002E-2</v>
      </c>
      <c r="H43" s="86">
        <v>5.5E-2</v>
      </c>
      <c r="I43" s="86">
        <v>0</v>
      </c>
      <c r="J43" s="87">
        <v>0</v>
      </c>
      <c r="K43" s="87">
        <v>0</v>
      </c>
      <c r="L43" s="88"/>
      <c r="M43" s="88">
        <v>2835000</v>
      </c>
      <c r="N43" s="88"/>
      <c r="O43" s="88"/>
      <c r="P43" s="89"/>
      <c r="Q43" s="90">
        <v>4.8500000000000001E-2</v>
      </c>
      <c r="R43" s="54">
        <f>O43*J43/$O$39</f>
        <v>0</v>
      </c>
      <c r="S43" s="55">
        <f>O43*J43/$R$10</f>
        <v>0</v>
      </c>
      <c r="T43" s="55"/>
    </row>
    <row r="44" spans="1:20" s="99" customFormat="1" ht="13.5" customHeight="1" x14ac:dyDescent="0.2">
      <c r="A44" s="92"/>
      <c r="B44" s="93"/>
      <c r="C44" s="83" t="s">
        <v>35</v>
      </c>
      <c r="D44" s="84">
        <v>44696</v>
      </c>
      <c r="E44" s="86">
        <v>7.0000000000000007E-2</v>
      </c>
      <c r="F44" s="86">
        <v>5.7187500000000002E-2</v>
      </c>
      <c r="G44" s="86">
        <v>5.8829600000000003E-2</v>
      </c>
      <c r="H44" s="86">
        <v>6.0937499999999999E-2</v>
      </c>
      <c r="I44" s="86">
        <v>0</v>
      </c>
      <c r="J44" s="87">
        <v>0</v>
      </c>
      <c r="K44" s="87">
        <v>0</v>
      </c>
      <c r="L44" s="88"/>
      <c r="M44" s="88">
        <v>1955000</v>
      </c>
      <c r="N44" s="88"/>
      <c r="O44" s="88"/>
      <c r="P44" s="89"/>
      <c r="Q44" s="90">
        <v>5.5800000000000002E-2</v>
      </c>
      <c r="R44" s="97">
        <f>O44*J44/$O$39</f>
        <v>0</v>
      </c>
      <c r="S44" s="98">
        <f>O44*J44/$R$10</f>
        <v>0</v>
      </c>
      <c r="T44" s="98"/>
    </row>
    <row r="45" spans="1:20" ht="13.5" customHeight="1" x14ac:dyDescent="0.2">
      <c r="A45" s="92"/>
      <c r="B45" s="93"/>
      <c r="C45" s="83" t="s">
        <v>43</v>
      </c>
      <c r="D45" s="84">
        <v>46522</v>
      </c>
      <c r="E45" s="86">
        <v>7.0000000000000007E-2</v>
      </c>
      <c r="F45" s="86">
        <v>6.1874999999999999E-2</v>
      </c>
      <c r="G45" s="86">
        <v>6.2988799999999998E-2</v>
      </c>
      <c r="H45" s="86">
        <v>6.7500000000000004E-2</v>
      </c>
      <c r="I45" s="86">
        <v>0</v>
      </c>
      <c r="J45" s="87">
        <v>0</v>
      </c>
      <c r="K45" s="87">
        <v>0</v>
      </c>
      <c r="L45" s="88"/>
      <c r="M45" s="88">
        <v>1905000</v>
      </c>
      <c r="N45" s="88"/>
      <c r="O45" s="88"/>
      <c r="P45" s="89"/>
      <c r="Q45" s="90">
        <v>6.13E-2</v>
      </c>
      <c r="R45" s="54">
        <f>O45*J45/$O$39</f>
        <v>0</v>
      </c>
      <c r="S45" s="55">
        <f>O45*J45/$R$10</f>
        <v>0</v>
      </c>
      <c r="T45" s="55"/>
    </row>
    <row r="46" spans="1:20" ht="13.5" customHeight="1" x14ac:dyDescent="0.2">
      <c r="A46" s="58">
        <v>40981</v>
      </c>
      <c r="B46" s="59">
        <v>40983</v>
      </c>
      <c r="C46" s="17" t="s">
        <v>59</v>
      </c>
      <c r="D46" s="18">
        <v>41166</v>
      </c>
      <c r="E46" s="48">
        <v>0</v>
      </c>
      <c r="F46" s="26">
        <v>3.7499999999999999E-2</v>
      </c>
      <c r="G46" s="26"/>
      <c r="H46" s="26">
        <v>0.05</v>
      </c>
      <c r="I46" s="26"/>
      <c r="J46" s="27">
        <v>3.7959199999999998E-2</v>
      </c>
      <c r="K46" s="27"/>
      <c r="L46" s="21">
        <v>1000000</v>
      </c>
      <c r="M46" s="21">
        <v>2350000</v>
      </c>
      <c r="N46" s="21">
        <v>280000</v>
      </c>
      <c r="O46" s="21">
        <v>280000</v>
      </c>
      <c r="P46" s="44">
        <f>M46/O46</f>
        <v>8.3928571428571423</v>
      </c>
      <c r="Q46" s="54"/>
      <c r="R46" s="54"/>
      <c r="S46" s="55">
        <f>O46*J46/$R$10</f>
        <v>10891308.786652096</v>
      </c>
      <c r="T46" s="55"/>
    </row>
    <row r="47" spans="1:20" ht="13.5" customHeight="1" x14ac:dyDescent="0.2">
      <c r="A47" s="58"/>
      <c r="B47" s="80"/>
      <c r="C47" s="17" t="s">
        <v>48</v>
      </c>
      <c r="D47" s="18">
        <v>43146</v>
      </c>
      <c r="E47" s="96">
        <v>4.4499999999999998E-2</v>
      </c>
      <c r="F47" s="26">
        <v>5.9687499999999998E-2</v>
      </c>
      <c r="G47" s="26"/>
      <c r="H47" s="26">
        <v>6.5000000000000002E-2</v>
      </c>
      <c r="I47" s="26"/>
      <c r="J47" s="26"/>
      <c r="K47" s="27"/>
      <c r="L47" s="21"/>
      <c r="M47" s="21">
        <v>132000</v>
      </c>
      <c r="N47" s="21"/>
      <c r="O47" s="21"/>
      <c r="P47" s="44"/>
      <c r="Q47" s="54"/>
      <c r="R47" s="54"/>
      <c r="S47" s="55"/>
      <c r="T47" s="55"/>
    </row>
    <row r="48" spans="1:20" ht="13.5" customHeight="1" x14ac:dyDescent="0.2">
      <c r="A48" s="16"/>
      <c r="B48" s="1"/>
      <c r="C48" s="17" t="s">
        <v>49</v>
      </c>
      <c r="D48" s="18">
        <v>44576</v>
      </c>
      <c r="E48" s="96">
        <v>5.45E-2</v>
      </c>
      <c r="F48" s="26">
        <v>6.2812499999999993E-2</v>
      </c>
      <c r="G48" s="26"/>
      <c r="H48" s="26">
        <v>7.0000000000000007E-2</v>
      </c>
      <c r="I48" s="26"/>
      <c r="J48" s="27"/>
      <c r="K48" s="27"/>
      <c r="L48" s="21"/>
      <c r="M48" s="21">
        <v>664000</v>
      </c>
      <c r="N48" s="21"/>
      <c r="O48" s="21"/>
      <c r="P48" s="44"/>
      <c r="Q48" s="54"/>
      <c r="R48" s="54">
        <f>O48*J48/$O$218</f>
        <v>0</v>
      </c>
      <c r="S48" s="55">
        <f>O48*J48/$R$10</f>
        <v>0</v>
      </c>
      <c r="T48" s="55"/>
    </row>
    <row r="49" spans="1:20" ht="13.5" customHeight="1" x14ac:dyDescent="0.2">
      <c r="A49" s="16"/>
      <c r="B49" s="1"/>
      <c r="C49" s="17" t="s">
        <v>50</v>
      </c>
      <c r="D49" s="18">
        <v>46402</v>
      </c>
      <c r="E49" s="26">
        <v>0.06</v>
      </c>
      <c r="F49" s="26">
        <v>6.4687499999999995E-2</v>
      </c>
      <c r="G49" s="26"/>
      <c r="H49" s="26">
        <v>7.4999999999999997E-2</v>
      </c>
      <c r="I49" s="26"/>
      <c r="J49" s="27">
        <v>6.4699999999999994E-2</v>
      </c>
      <c r="K49" s="27"/>
      <c r="L49" s="21"/>
      <c r="M49" s="21">
        <v>1326000</v>
      </c>
      <c r="N49" s="21">
        <v>650000</v>
      </c>
      <c r="O49" s="21">
        <v>650000</v>
      </c>
      <c r="P49" s="44">
        <f t="shared" ref="P49:P55" si="3">M49/O49</f>
        <v>2.04</v>
      </c>
      <c r="Q49" s="54"/>
      <c r="R49" s="54"/>
      <c r="S49" s="55"/>
      <c r="T49" s="55"/>
    </row>
    <row r="50" spans="1:20" ht="13.5" customHeight="1" x14ac:dyDescent="0.2">
      <c r="A50" s="16"/>
      <c r="B50" s="1"/>
      <c r="C50" s="17" t="s">
        <v>53</v>
      </c>
      <c r="D50" s="18">
        <v>50086</v>
      </c>
      <c r="E50" s="26">
        <v>6.0999999999999999E-2</v>
      </c>
      <c r="F50" s="26">
        <v>6.4687499999999995E-2</v>
      </c>
      <c r="G50" s="26"/>
      <c r="H50" s="26">
        <v>7.8750000000000001E-2</v>
      </c>
      <c r="I50" s="26"/>
      <c r="J50" s="27">
        <v>6.8666400000000002E-2</v>
      </c>
      <c r="K50" s="27"/>
      <c r="L50" s="21"/>
      <c r="M50" s="21">
        <v>812000</v>
      </c>
      <c r="N50" s="21">
        <v>730000</v>
      </c>
      <c r="O50" s="21">
        <v>730000</v>
      </c>
      <c r="P50" s="44">
        <f t="shared" si="3"/>
        <v>1.1123287671232878</v>
      </c>
      <c r="Q50" s="54"/>
      <c r="R50" s="54">
        <f>O50*J50/$O$218</f>
        <v>1.8665750072748672E-4</v>
      </c>
      <c r="S50" s="55">
        <f>O50*J50/$R$10</f>
        <v>51365571.920214929</v>
      </c>
      <c r="T50" s="55"/>
    </row>
    <row r="51" spans="1:20" ht="13.5" customHeight="1" x14ac:dyDescent="0.2">
      <c r="A51" s="81">
        <v>40987</v>
      </c>
      <c r="B51" s="82">
        <v>40989</v>
      </c>
      <c r="C51" s="83" t="s">
        <v>60</v>
      </c>
      <c r="D51" s="84">
        <v>42268</v>
      </c>
      <c r="E51" s="86">
        <v>6.25E-2</v>
      </c>
      <c r="F51" s="86"/>
      <c r="G51" s="86"/>
      <c r="H51" s="86"/>
      <c r="I51" s="86"/>
      <c r="J51" s="87">
        <v>6.25E-2</v>
      </c>
      <c r="K51" s="87"/>
      <c r="L51" s="88">
        <v>13000000</v>
      </c>
      <c r="M51" s="88">
        <v>13613805</v>
      </c>
      <c r="N51" s="88">
        <v>13613805</v>
      </c>
      <c r="O51" s="88">
        <v>13613805</v>
      </c>
      <c r="P51" s="89">
        <f t="shared" si="3"/>
        <v>1</v>
      </c>
      <c r="Q51" s="90"/>
      <c r="R51" s="54"/>
      <c r="S51" s="55">
        <f>O51*J51/$R$10</f>
        <v>871895691.9550432</v>
      </c>
      <c r="T51" s="55"/>
    </row>
    <row r="52" spans="1:20" ht="13.5" customHeight="1" x14ac:dyDescent="0.2">
      <c r="A52" s="58">
        <v>40988</v>
      </c>
      <c r="B52" s="58">
        <v>40990</v>
      </c>
      <c r="C52" s="17" t="s">
        <v>58</v>
      </c>
      <c r="D52" s="18">
        <v>41051</v>
      </c>
      <c r="E52" s="67">
        <v>0</v>
      </c>
      <c r="F52" s="62">
        <v>0.03</v>
      </c>
      <c r="G52" s="62">
        <v>3.85104E-2</v>
      </c>
      <c r="H52" s="62">
        <v>4.2500000000000003E-2</v>
      </c>
      <c r="I52" s="62">
        <v>0.03</v>
      </c>
      <c r="J52" s="27">
        <v>3.0800000000000001E-2</v>
      </c>
      <c r="K52" s="27">
        <v>3.1875000000000001E-2</v>
      </c>
      <c r="L52" s="63">
        <v>6000000</v>
      </c>
      <c r="M52" s="63">
        <v>2465000</v>
      </c>
      <c r="N52" s="63">
        <v>250000</v>
      </c>
      <c r="O52" s="63">
        <v>250000</v>
      </c>
      <c r="P52" s="64">
        <f t="shared" si="3"/>
        <v>9.86</v>
      </c>
      <c r="Q52" s="100">
        <v>3.1E-2</v>
      </c>
      <c r="R52" s="54"/>
      <c r="S52" s="55">
        <f>O52*J52/$R$10</f>
        <v>7890339.9342697598</v>
      </c>
      <c r="T52" s="55"/>
    </row>
    <row r="53" spans="1:20" ht="13.5" customHeight="1" x14ac:dyDescent="0.2">
      <c r="A53" s="16"/>
      <c r="B53" s="80"/>
      <c r="C53" s="17" t="s">
        <v>57</v>
      </c>
      <c r="D53" s="18">
        <v>41285</v>
      </c>
      <c r="E53" s="67">
        <v>0</v>
      </c>
      <c r="F53" s="62">
        <v>4.0312500000000001E-2</v>
      </c>
      <c r="G53" s="62">
        <v>4.2195000000000003E-2</v>
      </c>
      <c r="H53" s="62">
        <v>4.4999999999999998E-2</v>
      </c>
      <c r="I53" s="62">
        <v>4.0312500000000001E-2</v>
      </c>
      <c r="J53" s="27">
        <v>4.04167E-2</v>
      </c>
      <c r="K53" s="27">
        <v>4.0625000000000001E-2</v>
      </c>
      <c r="L53" s="63"/>
      <c r="M53" s="63">
        <v>2721000</v>
      </c>
      <c r="N53" s="63">
        <v>1050000</v>
      </c>
      <c r="O53" s="63">
        <v>1000000</v>
      </c>
      <c r="P53" s="64">
        <f t="shared" si="3"/>
        <v>2.7210000000000001</v>
      </c>
      <c r="Q53" s="100">
        <v>4.0500000000000001E-2</v>
      </c>
      <c r="R53" s="54"/>
      <c r="S53" s="55"/>
      <c r="T53" s="55"/>
    </row>
    <row r="54" spans="1:20" ht="13.5" customHeight="1" x14ac:dyDescent="0.2">
      <c r="A54" s="16"/>
      <c r="B54" s="1"/>
      <c r="C54" s="17" t="s">
        <v>34</v>
      </c>
      <c r="D54" s="18">
        <v>42840</v>
      </c>
      <c r="E54" s="62">
        <v>6.25E-2</v>
      </c>
      <c r="F54" s="62">
        <v>4.8750000000000002E-2</v>
      </c>
      <c r="G54" s="62">
        <v>5.1622800000000003E-2</v>
      </c>
      <c r="H54" s="62">
        <v>0.06</v>
      </c>
      <c r="I54" s="62">
        <v>4.8750000000000002E-2</v>
      </c>
      <c r="J54" s="27">
        <v>5.1191899999999999E-2</v>
      </c>
      <c r="K54" s="27">
        <v>5.2187499999999998E-2</v>
      </c>
      <c r="L54" s="63"/>
      <c r="M54" s="63">
        <v>2449000</v>
      </c>
      <c r="N54" s="63">
        <v>2300000</v>
      </c>
      <c r="O54" s="63">
        <v>1950000</v>
      </c>
      <c r="P54" s="64">
        <f t="shared" si="3"/>
        <v>1.255897435897436</v>
      </c>
      <c r="Q54" s="100">
        <v>5.1499999999999997E-2</v>
      </c>
      <c r="R54" s="54">
        <v>0</v>
      </c>
      <c r="S54" s="55">
        <v>0</v>
      </c>
      <c r="T54" s="55"/>
    </row>
    <row r="55" spans="1:20" ht="13.5" customHeight="1" x14ac:dyDescent="0.2">
      <c r="A55" s="16"/>
      <c r="B55" s="1"/>
      <c r="C55" s="17" t="s">
        <v>35</v>
      </c>
      <c r="D55" s="18">
        <v>44696</v>
      </c>
      <c r="E55" s="62">
        <v>7.0000000000000007E-2</v>
      </c>
      <c r="F55" s="62">
        <v>5.7500000000000002E-2</v>
      </c>
      <c r="G55" s="62">
        <v>5.9145700000000002E-2</v>
      </c>
      <c r="H55" s="62">
        <v>6.3125000000000001E-2</v>
      </c>
      <c r="I55" s="62">
        <v>5.7500000000000002E-2</v>
      </c>
      <c r="J55" s="27">
        <v>5.8697600000000003E-2</v>
      </c>
      <c r="K55" s="27">
        <v>5.9374999999999997E-2</v>
      </c>
      <c r="L55" s="63"/>
      <c r="M55" s="63">
        <v>3433000</v>
      </c>
      <c r="N55" s="63">
        <v>2050000</v>
      </c>
      <c r="O55" s="63">
        <v>2050000</v>
      </c>
      <c r="P55" s="64">
        <f t="shared" si="3"/>
        <v>1.6746341463414633</v>
      </c>
      <c r="Q55" s="100">
        <v>5.8700000000000002E-2</v>
      </c>
      <c r="R55" s="54">
        <v>0</v>
      </c>
      <c r="S55" s="55">
        <v>0</v>
      </c>
      <c r="T55" s="55"/>
    </row>
    <row r="56" spans="1:20" ht="13.5" customHeight="1" x14ac:dyDescent="0.2">
      <c r="A56" s="16"/>
      <c r="B56" s="1"/>
      <c r="C56" s="17" t="s">
        <v>32</v>
      </c>
      <c r="D56" s="18">
        <v>48380</v>
      </c>
      <c r="E56" s="62">
        <v>8.2500000000000004E-2</v>
      </c>
      <c r="F56" s="62">
        <v>6.5937499999999996E-2</v>
      </c>
      <c r="G56" s="62">
        <v>6.7572999999999994E-2</v>
      </c>
      <c r="H56" s="62">
        <v>6.9375000000000006E-2</v>
      </c>
      <c r="I56" s="62">
        <v>6.5937499999999996E-2</v>
      </c>
      <c r="J56" s="27">
        <v>6.7264900000000002E-2</v>
      </c>
      <c r="K56" s="27">
        <v>6.7812499999999998E-2</v>
      </c>
      <c r="L56" s="63"/>
      <c r="M56" s="63">
        <v>3017000</v>
      </c>
      <c r="N56" s="63">
        <v>2100000</v>
      </c>
      <c r="O56" s="63">
        <v>2050000</v>
      </c>
      <c r="P56" s="64">
        <v>4.6167499999999997</v>
      </c>
      <c r="Q56" s="100">
        <v>6.7299999999999999E-2</v>
      </c>
      <c r="R56" s="54">
        <v>1.9887751488813776E-3</v>
      </c>
      <c r="S56" s="55">
        <v>29293528.561597757</v>
      </c>
      <c r="T56" s="60"/>
    </row>
    <row r="57" spans="1:20" ht="13.5" customHeight="1" x14ac:dyDescent="0.2">
      <c r="A57" s="81">
        <v>40989</v>
      </c>
      <c r="B57" s="82">
        <v>40989</v>
      </c>
      <c r="C57" s="83" t="s">
        <v>61</v>
      </c>
      <c r="D57" s="84">
        <v>42815</v>
      </c>
      <c r="E57" s="86">
        <v>5.16E-2</v>
      </c>
      <c r="F57" s="86"/>
      <c r="G57" s="86"/>
      <c r="H57" s="86"/>
      <c r="I57" s="86"/>
      <c r="J57" s="86">
        <v>5.16E-2</v>
      </c>
      <c r="K57" s="87"/>
      <c r="L57" s="88">
        <v>8000000</v>
      </c>
      <c r="M57" s="88">
        <v>2000000</v>
      </c>
      <c r="N57" s="88">
        <v>2000000</v>
      </c>
      <c r="O57" s="88">
        <v>2000000</v>
      </c>
      <c r="P57" s="89">
        <f>M57/O57</f>
        <v>1</v>
      </c>
      <c r="Q57" s="90">
        <v>0.03</v>
      </c>
      <c r="R57" s="54"/>
      <c r="S57" s="55">
        <f>O57*J57/$R$10</f>
        <v>105751049.50865445</v>
      </c>
      <c r="T57" s="55"/>
    </row>
    <row r="58" spans="1:20" ht="13.5" customHeight="1" x14ac:dyDescent="0.2">
      <c r="A58" s="92"/>
      <c r="B58" s="91"/>
      <c r="C58" s="83" t="s">
        <v>62</v>
      </c>
      <c r="D58" s="84">
        <v>43545</v>
      </c>
      <c r="E58" s="86">
        <v>5.4600000000000003E-2</v>
      </c>
      <c r="F58" s="86"/>
      <c r="G58" s="86"/>
      <c r="H58" s="86"/>
      <c r="I58" s="86"/>
      <c r="J58" s="86">
        <v>5.4600000000000003E-2</v>
      </c>
      <c r="K58" s="87"/>
      <c r="L58" s="88"/>
      <c r="M58" s="88">
        <v>3000000</v>
      </c>
      <c r="N58" s="88">
        <v>3000000</v>
      </c>
      <c r="O58" s="88">
        <v>3000000</v>
      </c>
      <c r="P58" s="89">
        <f>M58/O58</f>
        <v>1</v>
      </c>
      <c r="Q58" s="90">
        <v>4.07E-2</v>
      </c>
      <c r="R58" s="54"/>
      <c r="S58" s="55"/>
      <c r="T58" s="55"/>
    </row>
    <row r="59" spans="1:20" ht="13.5" customHeight="1" x14ac:dyDescent="0.2">
      <c r="A59" s="92"/>
      <c r="B59" s="93"/>
      <c r="C59" s="83" t="s">
        <v>63</v>
      </c>
      <c r="D59" s="84">
        <v>44641</v>
      </c>
      <c r="E59" s="86">
        <v>5.91E-2</v>
      </c>
      <c r="F59" s="86"/>
      <c r="G59" s="86"/>
      <c r="H59" s="86"/>
      <c r="I59" s="86"/>
      <c r="J59" s="86">
        <v>5.91E-2</v>
      </c>
      <c r="K59" s="87"/>
      <c r="L59" s="88"/>
      <c r="M59" s="88">
        <v>3342000</v>
      </c>
      <c r="N59" s="88">
        <v>3342000</v>
      </c>
      <c r="O59" s="88">
        <v>3342000</v>
      </c>
      <c r="P59" s="89">
        <f>M59/O59</f>
        <v>1</v>
      </c>
      <c r="Q59" s="90">
        <v>4.8500000000000001E-2</v>
      </c>
      <c r="R59" s="54">
        <f>O59*J59/$O$39</f>
        <v>2.5650935064935068</v>
      </c>
      <c r="S59" s="55">
        <f>O59*J59/$R$10</f>
        <v>202394597.29421762</v>
      </c>
      <c r="T59" s="55"/>
    </row>
    <row r="60" spans="1:20" ht="13.5" customHeight="1" x14ac:dyDescent="0.2">
      <c r="A60" s="58">
        <v>40995</v>
      </c>
      <c r="B60" s="59">
        <v>40997</v>
      </c>
      <c r="C60" s="17" t="s">
        <v>48</v>
      </c>
      <c r="D60" s="18">
        <v>43146</v>
      </c>
      <c r="E60" s="96">
        <v>4.4499999999999998E-2</v>
      </c>
      <c r="F60" s="26">
        <v>5.8125000000000003E-2</v>
      </c>
      <c r="G60" s="26"/>
      <c r="H60" s="26">
        <v>6.5000000000000002E-2</v>
      </c>
      <c r="I60" s="26"/>
      <c r="J60" s="26"/>
      <c r="K60" s="27"/>
      <c r="L60" s="21">
        <v>1000000</v>
      </c>
      <c r="M60" s="21">
        <v>108000</v>
      </c>
      <c r="N60" s="21"/>
      <c r="O60" s="21"/>
      <c r="P60" s="44"/>
      <c r="Q60" s="54"/>
      <c r="R60" s="54"/>
      <c r="S60" s="55"/>
      <c r="T60" s="55"/>
    </row>
    <row r="61" spans="1:20" ht="13.5" customHeight="1" x14ac:dyDescent="0.2">
      <c r="A61" s="16"/>
      <c r="B61" s="1"/>
      <c r="C61" s="17" t="s">
        <v>49</v>
      </c>
      <c r="D61" s="18">
        <v>44576</v>
      </c>
      <c r="E61" s="96">
        <v>5.45E-2</v>
      </c>
      <c r="F61" s="26">
        <v>6.21875E-2</v>
      </c>
      <c r="G61" s="26"/>
      <c r="H61" s="26">
        <v>7.0000000000000007E-2</v>
      </c>
      <c r="I61" s="26"/>
      <c r="J61" s="27"/>
      <c r="K61" s="27"/>
      <c r="L61" s="21"/>
      <c r="M61" s="21">
        <v>483000</v>
      </c>
      <c r="N61" s="21"/>
      <c r="O61" s="21"/>
      <c r="P61" s="44"/>
      <c r="Q61" s="54"/>
      <c r="R61" s="54">
        <f>O61*J61/$O$218</f>
        <v>0</v>
      </c>
      <c r="S61" s="55">
        <f>O61*J61/$R$10</f>
        <v>0</v>
      </c>
      <c r="T61" s="55"/>
    </row>
    <row r="62" spans="1:20" ht="13.5" customHeight="1" x14ac:dyDescent="0.2">
      <c r="A62" s="16"/>
      <c r="B62" s="1"/>
      <c r="C62" s="17" t="s">
        <v>50</v>
      </c>
      <c r="D62" s="18">
        <v>46402</v>
      </c>
      <c r="E62" s="26">
        <v>0.06</v>
      </c>
      <c r="F62" s="26">
        <v>6.5312499999999996E-2</v>
      </c>
      <c r="G62" s="26"/>
      <c r="H62" s="26">
        <v>7.0937500000000001E-2</v>
      </c>
      <c r="I62" s="26"/>
      <c r="J62" s="27"/>
      <c r="K62" s="27"/>
      <c r="L62" s="21"/>
      <c r="M62" s="21">
        <v>801000</v>
      </c>
      <c r="N62" s="21"/>
      <c r="O62" s="21"/>
      <c r="P62" s="44"/>
      <c r="Q62" s="54"/>
      <c r="R62" s="54"/>
      <c r="S62" s="55"/>
      <c r="T62" s="55"/>
    </row>
    <row r="63" spans="1:20" ht="13.5" customHeight="1" x14ac:dyDescent="0.2">
      <c r="A63" s="16"/>
      <c r="B63" s="1"/>
      <c r="C63" s="17" t="s">
        <v>53</v>
      </c>
      <c r="D63" s="18">
        <v>50086</v>
      </c>
      <c r="E63" s="26">
        <v>6.0999999999999999E-2</v>
      </c>
      <c r="F63" s="26">
        <v>6.8125000000000005E-2</v>
      </c>
      <c r="G63" s="26"/>
      <c r="H63" s="26">
        <v>7.2499999999999995E-2</v>
      </c>
      <c r="I63" s="26"/>
      <c r="J63" s="27">
        <v>6.9596500000000006E-2</v>
      </c>
      <c r="K63" s="27"/>
      <c r="L63" s="21"/>
      <c r="M63" s="21">
        <v>792000</v>
      </c>
      <c r="N63" s="21"/>
      <c r="O63" s="21">
        <v>355000</v>
      </c>
      <c r="P63" s="44">
        <f>M63/O63</f>
        <v>2.2309859154929579</v>
      </c>
      <c r="Q63" s="100">
        <v>6.7299999999999999E-2</v>
      </c>
      <c r="R63" s="54">
        <f>O63*J63/$O$218</f>
        <v>9.2001320300979657E-5</v>
      </c>
      <c r="S63" s="55">
        <f>O63*J63/$R$10</f>
        <v>25317495.499814145</v>
      </c>
      <c r="T63" s="55"/>
    </row>
    <row r="64" spans="1:20" ht="13.5" customHeight="1" x14ac:dyDescent="0.2">
      <c r="A64" s="81">
        <v>41002</v>
      </c>
      <c r="B64" s="82">
        <v>41004</v>
      </c>
      <c r="C64" s="83" t="s">
        <v>64</v>
      </c>
      <c r="D64" s="84">
        <v>41368</v>
      </c>
      <c r="E64" s="86">
        <v>0</v>
      </c>
      <c r="F64" s="86">
        <v>3.875E-2</v>
      </c>
      <c r="G64" s="86">
        <v>4.1736099999999998E-2</v>
      </c>
      <c r="H64" s="86">
        <v>4.4999999999999998E-2</v>
      </c>
      <c r="I64" s="86">
        <v>3.875E-2</v>
      </c>
      <c r="J64" s="86">
        <v>3.9166699999999999E-2</v>
      </c>
      <c r="K64" s="87">
        <v>3.9375E-2</v>
      </c>
      <c r="L64" s="88">
        <v>6000000</v>
      </c>
      <c r="M64" s="88">
        <v>6100000</v>
      </c>
      <c r="N64" s="88">
        <v>1300000</v>
      </c>
      <c r="O64" s="88">
        <v>1000000</v>
      </c>
      <c r="P64" s="89">
        <f>M64/O64</f>
        <v>6.1</v>
      </c>
      <c r="Q64" s="90">
        <v>3.95E-2</v>
      </c>
      <c r="R64" s="54"/>
      <c r="S64" s="55">
        <f>O64*J64/$R$10</f>
        <v>40134880.14331992</v>
      </c>
      <c r="T64" s="55"/>
    </row>
    <row r="65" spans="1:23" ht="13.5" customHeight="1" x14ac:dyDescent="0.2">
      <c r="A65" s="81"/>
      <c r="B65" s="82"/>
      <c r="C65" s="83" t="s">
        <v>35</v>
      </c>
      <c r="D65" s="84">
        <v>44696</v>
      </c>
      <c r="E65" s="86">
        <v>7.0000000000000007E-2</v>
      </c>
      <c r="F65" s="86">
        <v>5.7812500000000003E-2</v>
      </c>
      <c r="G65" s="86">
        <v>5.89077E-2</v>
      </c>
      <c r="H65" s="86">
        <v>6.1874999999999999E-2</v>
      </c>
      <c r="I65" s="86">
        <v>5.7812500000000003E-2</v>
      </c>
      <c r="J65" s="86">
        <v>5.86992E-2</v>
      </c>
      <c r="K65" s="87">
        <v>5.9062499999999997E-2</v>
      </c>
      <c r="L65" s="88"/>
      <c r="M65" s="88">
        <v>4188000</v>
      </c>
      <c r="N65" s="88">
        <v>3300000</v>
      </c>
      <c r="O65" s="88">
        <v>3300000</v>
      </c>
      <c r="P65" s="89">
        <f>M65/O65</f>
        <v>1.269090909090909</v>
      </c>
      <c r="Q65" s="90">
        <v>5.8700000000000002E-2</v>
      </c>
      <c r="R65" s="54"/>
      <c r="S65" s="55"/>
      <c r="T65" s="55"/>
    </row>
    <row r="66" spans="1:23" ht="13.5" customHeight="1" x14ac:dyDescent="0.2">
      <c r="A66" s="81"/>
      <c r="B66" s="82"/>
      <c r="C66" s="83" t="s">
        <v>43</v>
      </c>
      <c r="D66" s="84">
        <v>46522</v>
      </c>
      <c r="E66" s="86">
        <v>7.0000000000000007E-2</v>
      </c>
      <c r="F66" s="86">
        <v>6.21875E-2</v>
      </c>
      <c r="G66" s="86">
        <v>6.3441600000000001E-2</v>
      </c>
      <c r="H66" s="86">
        <v>6.5000000000000002E-2</v>
      </c>
      <c r="I66" s="86">
        <v>6.21875E-2</v>
      </c>
      <c r="J66" s="86">
        <v>6.3199099999999994E-2</v>
      </c>
      <c r="K66" s="87">
        <v>6.3437499999999994E-2</v>
      </c>
      <c r="L66" s="88"/>
      <c r="M66" s="88">
        <v>4009000</v>
      </c>
      <c r="N66" s="88">
        <v>2700000</v>
      </c>
      <c r="O66" s="88">
        <v>2700000</v>
      </c>
      <c r="P66" s="89">
        <f t="shared" ref="P66:P72" si="4">M66/O66</f>
        <v>1.4848148148148148</v>
      </c>
      <c r="Q66" s="90">
        <v>6.3200000000000006E-2</v>
      </c>
      <c r="R66" s="54" t="e">
        <f>O66*J66/$O$43</f>
        <v>#DIV/0!</v>
      </c>
      <c r="S66" s="55">
        <f>O66*J66/$R$10</f>
        <v>174855640.63087681</v>
      </c>
      <c r="T66" s="55"/>
    </row>
    <row r="67" spans="1:23" ht="13.5" customHeight="1" x14ac:dyDescent="0.2">
      <c r="A67" s="81"/>
      <c r="B67" s="82"/>
      <c r="C67" s="83" t="s">
        <v>32</v>
      </c>
      <c r="D67" s="84">
        <v>48380</v>
      </c>
      <c r="E67" s="86">
        <v>8.2500000000000004E-2</v>
      </c>
      <c r="F67" s="86">
        <v>6.6562499999999997E-2</v>
      </c>
      <c r="G67" s="86">
        <v>6.7594600000000005E-2</v>
      </c>
      <c r="H67" s="86">
        <v>7.0000000000000007E-2</v>
      </c>
      <c r="I67" s="86">
        <v>6.6562499999999997E-2</v>
      </c>
      <c r="J67" s="86">
        <v>6.7283399999999993E-2</v>
      </c>
      <c r="K67" s="87">
        <v>6.7500000000000004E-2</v>
      </c>
      <c r="L67" s="88"/>
      <c r="M67" s="88">
        <v>5192000</v>
      </c>
      <c r="N67" s="88">
        <v>2150000</v>
      </c>
      <c r="O67" s="88">
        <v>2000000</v>
      </c>
      <c r="P67" s="89">
        <f t="shared" si="4"/>
        <v>2.5960000000000001</v>
      </c>
      <c r="Q67" s="90">
        <v>6.7299999999999999E-2</v>
      </c>
      <c r="R67" s="54" t="e">
        <f>O67*J67/$O$43</f>
        <v>#DIV/0!</v>
      </c>
      <c r="S67" s="55">
        <f>O67*J67/$R$10</f>
        <v>137893220.24245349</v>
      </c>
      <c r="T67" s="55"/>
    </row>
    <row r="68" spans="1:23" ht="13.5" customHeight="1" x14ac:dyDescent="0.2">
      <c r="A68" s="58">
        <v>41009</v>
      </c>
      <c r="B68" s="59">
        <v>41011</v>
      </c>
      <c r="C68" s="17" t="s">
        <v>65</v>
      </c>
      <c r="D68" s="18">
        <v>41193</v>
      </c>
      <c r="E68" s="96">
        <v>0</v>
      </c>
      <c r="F68" s="26">
        <v>3.7812499999999999E-2</v>
      </c>
      <c r="G68" s="26"/>
      <c r="H68" s="26">
        <v>4.7500000000000001E-2</v>
      </c>
      <c r="I68" s="26"/>
      <c r="J68" s="26"/>
      <c r="K68" s="27"/>
      <c r="L68" s="21">
        <v>1000000</v>
      </c>
      <c r="M68" s="21">
        <v>2451000</v>
      </c>
      <c r="N68" s="21"/>
      <c r="O68" s="21">
        <v>0</v>
      </c>
      <c r="P68" s="89" t="e">
        <f t="shared" si="4"/>
        <v>#DIV/0!</v>
      </c>
      <c r="Q68" s="54"/>
      <c r="R68" s="54"/>
      <c r="S68" s="55">
        <f>O68*J68/$R$10</f>
        <v>0</v>
      </c>
      <c r="T68" s="55"/>
    </row>
    <row r="69" spans="1:23" ht="13.5" customHeight="1" x14ac:dyDescent="0.2">
      <c r="A69" s="16"/>
      <c r="B69" s="1"/>
      <c r="C69" s="17" t="s">
        <v>48</v>
      </c>
      <c r="D69" s="18">
        <v>43146</v>
      </c>
      <c r="E69" s="96">
        <v>4.4499999999999998E-2</v>
      </c>
      <c r="F69" s="26">
        <v>5.3124999999999999E-2</v>
      </c>
      <c r="G69" s="26"/>
      <c r="H69" s="26">
        <v>6.5000000000000002E-2</v>
      </c>
      <c r="I69" s="26"/>
      <c r="J69" s="27">
        <v>5.3124999999999999E-2</v>
      </c>
      <c r="K69" s="27"/>
      <c r="L69" s="21"/>
      <c r="M69" s="21">
        <v>2171000</v>
      </c>
      <c r="N69" s="21"/>
      <c r="O69" s="21">
        <v>1000000</v>
      </c>
      <c r="P69" s="89">
        <f t="shared" si="4"/>
        <v>2.1709999999999998</v>
      </c>
      <c r="Q69" s="54"/>
      <c r="R69" s="54"/>
      <c r="S69" s="55"/>
      <c r="T69" s="55"/>
    </row>
    <row r="70" spans="1:23" ht="13.5" customHeight="1" x14ac:dyDescent="0.2">
      <c r="A70" s="16"/>
      <c r="B70" s="1"/>
      <c r="C70" s="17" t="s">
        <v>49</v>
      </c>
      <c r="D70" s="18">
        <v>44576</v>
      </c>
      <c r="E70" s="96">
        <v>5.45E-2</v>
      </c>
      <c r="F70" s="26">
        <v>6.0937499999999999E-2</v>
      </c>
      <c r="G70" s="26"/>
      <c r="H70" s="26">
        <v>7.0000000000000007E-2</v>
      </c>
      <c r="I70" s="26"/>
      <c r="J70" s="27">
        <v>6.1093799999999997E-2</v>
      </c>
      <c r="K70" s="27"/>
      <c r="L70" s="21"/>
      <c r="M70" s="21">
        <v>466000</v>
      </c>
      <c r="N70" s="21"/>
      <c r="O70" s="21">
        <v>100000</v>
      </c>
      <c r="P70" s="89">
        <f t="shared" si="4"/>
        <v>4.66</v>
      </c>
      <c r="Q70" s="54"/>
      <c r="R70" s="54" t="e">
        <f>O70*J70/$O$43</f>
        <v>#DIV/0!</v>
      </c>
      <c r="S70" s="55">
        <f>O70*J70/$R$10</f>
        <v>6260400.6477440242</v>
      </c>
      <c r="T70" s="55"/>
    </row>
    <row r="71" spans="1:23" ht="13.5" customHeight="1" x14ac:dyDescent="0.2">
      <c r="A71" s="16"/>
      <c r="B71" s="1"/>
      <c r="C71" s="17" t="s">
        <v>50</v>
      </c>
      <c r="D71" s="18">
        <v>46402</v>
      </c>
      <c r="E71" s="26">
        <v>0.06</v>
      </c>
      <c r="F71" s="26">
        <v>6.5312499999999996E-2</v>
      </c>
      <c r="G71" s="26"/>
      <c r="H71" s="26">
        <v>7.4999999999999997E-2</v>
      </c>
      <c r="I71" s="26"/>
      <c r="J71" s="27">
        <v>6.5312499999999996E-2</v>
      </c>
      <c r="K71" s="27"/>
      <c r="L71" s="21"/>
      <c r="M71" s="21">
        <v>1341000</v>
      </c>
      <c r="N71" s="21"/>
      <c r="O71" s="21">
        <v>550000</v>
      </c>
      <c r="P71" s="89">
        <f t="shared" si="4"/>
        <v>2.438181818181818</v>
      </c>
      <c r="Q71" s="100"/>
      <c r="R71" s="54" t="e">
        <f>O71*J71/$O$43</f>
        <v>#DIV/0!</v>
      </c>
      <c r="S71" s="55">
        <f>O71*J71/$R$10</f>
        <v>36809844.782642402</v>
      </c>
      <c r="T71" s="55"/>
    </row>
    <row r="72" spans="1:23" ht="13.5" customHeight="1" x14ac:dyDescent="0.2">
      <c r="A72" s="16"/>
      <c r="B72" s="1"/>
      <c r="C72" s="17" t="s">
        <v>53</v>
      </c>
      <c r="D72" s="18">
        <v>50086</v>
      </c>
      <c r="E72" s="26">
        <v>6.0999999999999999E-2</v>
      </c>
      <c r="F72" s="26">
        <v>6.8750000000000006E-2</v>
      </c>
      <c r="G72" s="26"/>
      <c r="H72" s="26">
        <v>0.08</v>
      </c>
      <c r="I72" s="26"/>
      <c r="J72" s="27">
        <v>6.9043400000000005E-2</v>
      </c>
      <c r="K72" s="27"/>
      <c r="L72" s="21"/>
      <c r="M72" s="21">
        <v>639000</v>
      </c>
      <c r="N72" s="21"/>
      <c r="O72" s="21">
        <v>250000</v>
      </c>
      <c r="P72" s="89">
        <f t="shared" si="4"/>
        <v>2.556</v>
      </c>
      <c r="Q72" s="100"/>
      <c r="R72" s="54" t="e">
        <f>O72*J72/$O$43</f>
        <v>#DIV/0!</v>
      </c>
      <c r="S72" s="55">
        <f>O72*J72/$R$10</f>
        <v>17687529.097979248</v>
      </c>
      <c r="T72" s="55"/>
    </row>
    <row r="73" spans="1:23" ht="13.5" customHeight="1" x14ac:dyDescent="0.2">
      <c r="A73" s="81">
        <v>41016</v>
      </c>
      <c r="B73" s="81">
        <v>41018</v>
      </c>
      <c r="C73" s="83" t="s">
        <v>66</v>
      </c>
      <c r="D73" s="84">
        <v>41108</v>
      </c>
      <c r="E73" s="85">
        <v>0</v>
      </c>
      <c r="F73" s="86">
        <v>3.15625E-2</v>
      </c>
      <c r="G73" s="86">
        <v>3.7930400000000003E-2</v>
      </c>
      <c r="H73" s="86">
        <v>4.4999999999999998E-2</v>
      </c>
      <c r="I73" s="86">
        <v>3.15625E-2</v>
      </c>
      <c r="J73" s="87">
        <v>3.3057299999999998E-2</v>
      </c>
      <c r="K73" s="87">
        <v>3.3437500000000002E-2</v>
      </c>
      <c r="L73" s="88">
        <v>6000000</v>
      </c>
      <c r="M73" s="88">
        <v>2080000</v>
      </c>
      <c r="N73" s="88">
        <v>300000</v>
      </c>
      <c r="O73" s="88">
        <v>300000</v>
      </c>
      <c r="P73" s="89">
        <f>M73/O73</f>
        <v>6.9333333333333336</v>
      </c>
      <c r="Q73" s="90">
        <v>3.3099999999999997E-2</v>
      </c>
      <c r="R73" s="54"/>
      <c r="S73" s="55">
        <f>O73*J73/$R$10</f>
        <v>10162337.700355936</v>
      </c>
      <c r="T73" s="55"/>
    </row>
    <row r="74" spans="1:23" ht="13.5" customHeight="1" x14ac:dyDescent="0.2">
      <c r="A74" s="92"/>
      <c r="B74" s="91"/>
      <c r="C74" s="83" t="s">
        <v>67</v>
      </c>
      <c r="D74" s="84">
        <v>41368</v>
      </c>
      <c r="E74" s="85">
        <v>0</v>
      </c>
      <c r="F74" s="86">
        <v>3.875E-2</v>
      </c>
      <c r="G74" s="86">
        <v>4.0850999999999998E-2</v>
      </c>
      <c r="H74" s="86">
        <v>4.7500000000000001E-2</v>
      </c>
      <c r="I74" s="86">
        <v>3.875E-2</v>
      </c>
      <c r="J74" s="87">
        <v>3.95E-2</v>
      </c>
      <c r="K74" s="87">
        <v>0.04</v>
      </c>
      <c r="L74" s="88"/>
      <c r="M74" s="88">
        <v>4150000</v>
      </c>
      <c r="N74" s="88">
        <v>1900000</v>
      </c>
      <c r="O74" s="88">
        <v>1900000</v>
      </c>
      <c r="P74" s="89">
        <f>M74/O74</f>
        <v>2.1842105263157894</v>
      </c>
      <c r="Q74" s="90">
        <v>3.95E-2</v>
      </c>
      <c r="R74" s="54"/>
      <c r="S74" s="55"/>
      <c r="T74" s="55"/>
    </row>
    <row r="75" spans="1:23" ht="13.5" customHeight="1" x14ac:dyDescent="0.2">
      <c r="A75" s="92"/>
      <c r="B75" s="93"/>
      <c r="C75" s="83" t="s">
        <v>35</v>
      </c>
      <c r="D75" s="84">
        <v>44696</v>
      </c>
      <c r="E75" s="86">
        <v>7.0000000000000007E-2</v>
      </c>
      <c r="F75" s="86">
        <v>6.0937499999999999E-2</v>
      </c>
      <c r="G75" s="86">
        <v>6.21383E-2</v>
      </c>
      <c r="H75" s="86">
        <v>6.5000000000000002E-2</v>
      </c>
      <c r="I75" s="86"/>
      <c r="J75" s="87"/>
      <c r="K75" s="87"/>
      <c r="L75" s="88"/>
      <c r="M75" s="88">
        <v>3225000</v>
      </c>
      <c r="N75" s="88">
        <v>0</v>
      </c>
      <c r="O75" s="88">
        <v>0</v>
      </c>
      <c r="P75" s="89"/>
      <c r="Q75" s="90">
        <v>6.0999999999999999E-2</v>
      </c>
      <c r="R75" s="54">
        <v>0</v>
      </c>
      <c r="S75" s="55">
        <v>0</v>
      </c>
      <c r="T75" s="55"/>
    </row>
    <row r="76" spans="1:23" ht="13.5" customHeight="1" x14ac:dyDescent="0.2">
      <c r="A76" s="92"/>
      <c r="B76" s="93"/>
      <c r="C76" s="83" t="s">
        <v>43</v>
      </c>
      <c r="D76" s="84">
        <v>46522</v>
      </c>
      <c r="E76" s="86">
        <v>7.0000000000000007E-2</v>
      </c>
      <c r="F76" s="86">
        <v>6.5625000000000003E-2</v>
      </c>
      <c r="G76" s="86">
        <v>6.5997700000000006E-2</v>
      </c>
      <c r="H76" s="86">
        <v>6.7500000000000004E-2</v>
      </c>
      <c r="I76" s="86"/>
      <c r="J76" s="87"/>
      <c r="K76" s="87"/>
      <c r="L76" s="88"/>
      <c r="M76" s="88">
        <v>3020000</v>
      </c>
      <c r="N76" s="88">
        <v>0</v>
      </c>
      <c r="O76" s="88">
        <v>0</v>
      </c>
      <c r="P76" s="89"/>
      <c r="Q76" s="90">
        <v>6.4699999999999994E-2</v>
      </c>
      <c r="R76" s="54">
        <v>0</v>
      </c>
      <c r="S76" s="55">
        <v>0</v>
      </c>
      <c r="T76" s="55"/>
    </row>
    <row r="77" spans="1:23" ht="13.5" customHeight="1" x14ac:dyDescent="0.2">
      <c r="A77" s="92"/>
      <c r="B77" s="93"/>
      <c r="C77" s="83" t="s">
        <v>32</v>
      </c>
      <c r="D77" s="84">
        <v>48380</v>
      </c>
      <c r="E77" s="86">
        <v>8.2500000000000004E-2</v>
      </c>
      <c r="F77" s="86">
        <v>6.9062499999999999E-2</v>
      </c>
      <c r="G77" s="86">
        <v>6.9961999999999996E-2</v>
      </c>
      <c r="H77" s="86">
        <v>7.2499999999999995E-2</v>
      </c>
      <c r="I77" s="86"/>
      <c r="J77" s="87"/>
      <c r="K77" s="87"/>
      <c r="L77" s="88"/>
      <c r="M77" s="88">
        <v>2362000</v>
      </c>
      <c r="N77" s="88">
        <v>0</v>
      </c>
      <c r="O77" s="88">
        <v>0</v>
      </c>
      <c r="P77" s="89"/>
      <c r="Q77" s="90">
        <v>6.8500000000000005E-2</v>
      </c>
      <c r="R77" s="54">
        <v>1.9887751488813776E-3</v>
      </c>
      <c r="S77" s="55">
        <v>29293528.561597757</v>
      </c>
      <c r="T77" s="60"/>
    </row>
    <row r="78" spans="1:23" ht="13.5" customHeight="1" x14ac:dyDescent="0.2">
      <c r="A78" s="250">
        <v>41016</v>
      </c>
      <c r="B78" s="252">
        <v>41024</v>
      </c>
      <c r="C78" s="69" t="s">
        <v>68</v>
      </c>
      <c r="D78" s="70">
        <v>44676</v>
      </c>
      <c r="E78" s="71">
        <v>3.7499999999999999E-2</v>
      </c>
      <c r="F78" s="72"/>
      <c r="G78" s="72"/>
      <c r="H78" s="72"/>
      <c r="I78" s="72"/>
      <c r="J78" s="73"/>
      <c r="K78" s="73"/>
      <c r="L78" s="102">
        <v>20000000</v>
      </c>
      <c r="M78" s="75" t="s">
        <v>71</v>
      </c>
      <c r="N78" s="75" t="s">
        <v>69</v>
      </c>
      <c r="O78" s="75" t="s">
        <v>69</v>
      </c>
      <c r="P78" s="101"/>
      <c r="Q78" s="77"/>
      <c r="R78" s="54"/>
      <c r="U78" s="2">
        <f>U79*5900</f>
        <v>54221000</v>
      </c>
      <c r="V78" s="2">
        <f>U79*2000</f>
        <v>18380000</v>
      </c>
      <c r="W78" s="2">
        <f>U79*2000</f>
        <v>18380000</v>
      </c>
    </row>
    <row r="79" spans="1:23" ht="13.5" customHeight="1" x14ac:dyDescent="0.2">
      <c r="A79" s="251"/>
      <c r="B79" s="253"/>
      <c r="C79" s="17"/>
      <c r="D79" s="18"/>
      <c r="E79" s="67"/>
      <c r="F79" s="62"/>
      <c r="G79" s="62"/>
      <c r="H79" s="62"/>
      <c r="I79" s="62"/>
      <c r="J79" s="27"/>
      <c r="K79" s="103"/>
      <c r="L79" s="154"/>
      <c r="M79" s="63">
        <f>U78</f>
        <v>54221000</v>
      </c>
      <c r="N79" s="63">
        <f>V78</f>
        <v>18380000</v>
      </c>
      <c r="O79" s="63">
        <f>W78</f>
        <v>18380000</v>
      </c>
      <c r="P79" s="64">
        <f>M79/O79</f>
        <v>2.95</v>
      </c>
      <c r="Q79" s="65"/>
      <c r="R79" s="54">
        <f>O79*J79/$O$52</f>
        <v>0</v>
      </c>
      <c r="U79" s="2">
        <v>9190</v>
      </c>
    </row>
    <row r="80" spans="1:23" ht="13.5" customHeight="1" x14ac:dyDescent="0.2">
      <c r="A80" s="251"/>
      <c r="B80" s="253"/>
      <c r="C80" s="69" t="s">
        <v>39</v>
      </c>
      <c r="D80" s="70">
        <v>51883</v>
      </c>
      <c r="E80" s="71">
        <v>5.2499999999999998E-2</v>
      </c>
      <c r="F80" s="72"/>
      <c r="G80" s="72"/>
      <c r="H80" s="72"/>
      <c r="I80" s="72"/>
      <c r="J80" s="73"/>
      <c r="K80" s="104"/>
      <c r="L80" s="154"/>
      <c r="M80" s="75" t="s">
        <v>69</v>
      </c>
      <c r="N80" s="75" t="s">
        <v>41</v>
      </c>
      <c r="O80" s="75" t="s">
        <v>70</v>
      </c>
      <c r="P80" s="76"/>
      <c r="Q80" s="77"/>
      <c r="R80" s="54"/>
      <c r="U80" s="2">
        <f>U81*2000</f>
        <v>18380000</v>
      </c>
      <c r="V80" s="2">
        <f>U81*500</f>
        <v>4595000</v>
      </c>
      <c r="W80" s="2">
        <f>U81*500</f>
        <v>4595000</v>
      </c>
    </row>
    <row r="81" spans="1:21" ht="13.5" customHeight="1" x14ac:dyDescent="0.2">
      <c r="A81" s="251"/>
      <c r="B81" s="253"/>
      <c r="C81" s="17"/>
      <c r="D81" s="18"/>
      <c r="E81" s="67"/>
      <c r="F81" s="62"/>
      <c r="G81" s="62"/>
      <c r="H81" s="62"/>
      <c r="I81" s="62"/>
      <c r="J81" s="27"/>
      <c r="K81" s="103"/>
      <c r="L81" s="154"/>
      <c r="M81" s="63">
        <f>U80</f>
        <v>18380000</v>
      </c>
      <c r="N81" s="63">
        <f>V80</f>
        <v>4595000</v>
      </c>
      <c r="O81" s="63">
        <f>W80</f>
        <v>4595000</v>
      </c>
      <c r="P81" s="64">
        <f t="shared" ref="P81:P97" si="5">M81/O81</f>
        <v>4</v>
      </c>
      <c r="Q81" s="65"/>
      <c r="R81" s="54">
        <f>O81*J81/$O$52</f>
        <v>0</v>
      </c>
      <c r="U81" s="2">
        <v>9190</v>
      </c>
    </row>
    <row r="82" spans="1:21" ht="13.5" customHeight="1" x14ac:dyDescent="0.2">
      <c r="A82" s="81">
        <v>41023</v>
      </c>
      <c r="B82" s="81">
        <v>41026</v>
      </c>
      <c r="C82" s="113" t="s">
        <v>48</v>
      </c>
      <c r="D82" s="114">
        <v>43146</v>
      </c>
      <c r="E82" s="116">
        <v>4.4499999999999998E-2</v>
      </c>
      <c r="F82" s="116">
        <v>5.3124999999999999E-2</v>
      </c>
      <c r="G82" s="116"/>
      <c r="H82" s="116">
        <v>6.25E-2</v>
      </c>
      <c r="I82" s="116"/>
      <c r="J82" s="117">
        <v>5.3124999999999999E-2</v>
      </c>
      <c r="K82" s="117"/>
      <c r="L82" s="118">
        <v>1000000</v>
      </c>
      <c r="M82" s="118">
        <v>2674000</v>
      </c>
      <c r="N82" s="118"/>
      <c r="O82" s="118">
        <v>1500000</v>
      </c>
      <c r="P82" s="119">
        <f t="shared" si="5"/>
        <v>1.7826666666666666</v>
      </c>
      <c r="Q82" s="120"/>
      <c r="R82" s="54"/>
      <c r="S82" s="55"/>
      <c r="T82" s="55"/>
    </row>
    <row r="83" spans="1:21" ht="13.5" customHeight="1" x14ac:dyDescent="0.2">
      <c r="A83" s="81"/>
      <c r="B83" s="81"/>
      <c r="C83" s="83" t="s">
        <v>49</v>
      </c>
      <c r="D83" s="84">
        <v>44576</v>
      </c>
      <c r="E83" s="86">
        <v>5.45E-2</v>
      </c>
      <c r="F83" s="86">
        <v>6.1562499999999999E-2</v>
      </c>
      <c r="G83" s="86"/>
      <c r="H83" s="86">
        <v>6.7500000000000004E-2</v>
      </c>
      <c r="I83" s="86"/>
      <c r="J83" s="87"/>
      <c r="K83" s="87"/>
      <c r="L83" s="88"/>
      <c r="M83" s="88">
        <v>441000</v>
      </c>
      <c r="N83" s="88"/>
      <c r="O83" s="88">
        <v>0</v>
      </c>
      <c r="P83" s="89" t="e">
        <f t="shared" si="5"/>
        <v>#DIV/0!</v>
      </c>
      <c r="Q83" s="90"/>
      <c r="R83" s="54" t="e">
        <f>O83*J83/$O$43</f>
        <v>#DIV/0!</v>
      </c>
      <c r="S83" s="55">
        <f>O83*J83/$R$10</f>
        <v>0</v>
      </c>
      <c r="T83" s="55"/>
    </row>
    <row r="84" spans="1:21" ht="13.5" customHeight="1" x14ac:dyDescent="0.2">
      <c r="A84" s="92"/>
      <c r="B84" s="91"/>
      <c r="C84" s="83" t="s">
        <v>50</v>
      </c>
      <c r="D84" s="84">
        <v>46402</v>
      </c>
      <c r="E84" s="86">
        <v>0.06</v>
      </c>
      <c r="F84" s="86">
        <v>6.5000000000000002E-2</v>
      </c>
      <c r="G84" s="86"/>
      <c r="H84" s="86">
        <v>7.0000000000000007E-2</v>
      </c>
      <c r="I84" s="86"/>
      <c r="J84" s="87">
        <v>6.5302399999999997E-2</v>
      </c>
      <c r="K84" s="87"/>
      <c r="L84" s="88"/>
      <c r="M84" s="88">
        <v>841000</v>
      </c>
      <c r="N84" s="88"/>
      <c r="O84" s="88">
        <v>320000</v>
      </c>
      <c r="P84" s="89">
        <f t="shared" si="5"/>
        <v>2.6281249999999998</v>
      </c>
      <c r="Q84" s="90"/>
      <c r="R84" s="54" t="e">
        <f>O84*J84/$O$43</f>
        <v>#DIV/0!</v>
      </c>
      <c r="S84" s="55">
        <f>O84*J84/$R$10</f>
        <v>21413325.071113043</v>
      </c>
      <c r="T84" s="55"/>
    </row>
    <row r="85" spans="1:21" ht="13.5" customHeight="1" x14ac:dyDescent="0.2">
      <c r="A85" s="131"/>
      <c r="B85" s="132"/>
      <c r="C85" s="133" t="s">
        <v>53</v>
      </c>
      <c r="D85" s="134">
        <v>50086</v>
      </c>
      <c r="E85" s="135">
        <v>6.0999999999999999E-2</v>
      </c>
      <c r="F85" s="135">
        <v>6.906255E-2</v>
      </c>
      <c r="G85" s="135"/>
      <c r="H85" s="135">
        <v>7.2499999999999995E-2</v>
      </c>
      <c r="I85" s="135"/>
      <c r="J85" s="136"/>
      <c r="K85" s="136"/>
      <c r="L85" s="137"/>
      <c r="M85" s="137">
        <v>235000</v>
      </c>
      <c r="N85" s="137"/>
      <c r="O85" s="137">
        <v>0</v>
      </c>
      <c r="P85" s="138" t="e">
        <f t="shared" si="5"/>
        <v>#DIV/0!</v>
      </c>
      <c r="Q85" s="139"/>
      <c r="R85" s="54" t="e">
        <f>O85*J85/$O$43</f>
        <v>#DIV/0!</v>
      </c>
      <c r="S85" s="55">
        <f>O85*J85/$R$10</f>
        <v>0</v>
      </c>
      <c r="T85" s="55"/>
    </row>
    <row r="86" spans="1:21" s="111" customFormat="1" ht="13.5" customHeight="1" x14ac:dyDescent="0.2">
      <c r="A86" s="112">
        <v>41026</v>
      </c>
      <c r="B86" s="112">
        <v>41026</v>
      </c>
      <c r="C86" s="113" t="s">
        <v>74</v>
      </c>
      <c r="D86" s="114">
        <v>42487</v>
      </c>
      <c r="E86" s="115">
        <v>5.0299999999999997E-2</v>
      </c>
      <c r="F86" s="116"/>
      <c r="G86" s="116"/>
      <c r="H86" s="116"/>
      <c r="I86" s="116"/>
      <c r="J86" s="117">
        <v>5.0299999999999997E-2</v>
      </c>
      <c r="K86" s="117"/>
      <c r="L86" s="118">
        <v>2500000</v>
      </c>
      <c r="M86" s="118">
        <v>1000000</v>
      </c>
      <c r="N86" s="118">
        <v>1000000</v>
      </c>
      <c r="O86" s="118">
        <v>1000000</v>
      </c>
      <c r="P86" s="119">
        <f t="shared" si="5"/>
        <v>1</v>
      </c>
      <c r="Q86" s="120"/>
      <c r="R86" s="109"/>
      <c r="S86" s="110">
        <f>O86*J86/$R$10</f>
        <v>51543389.440749206</v>
      </c>
      <c r="T86" s="110"/>
    </row>
    <row r="87" spans="1:21" s="111" customFormat="1" ht="13.5" customHeight="1" x14ac:dyDescent="0.2">
      <c r="A87" s="121"/>
      <c r="B87" s="122"/>
      <c r="C87" s="123" t="s">
        <v>75</v>
      </c>
      <c r="D87" s="124">
        <v>43948</v>
      </c>
      <c r="E87" s="125">
        <v>5.79E-2</v>
      </c>
      <c r="F87" s="126"/>
      <c r="G87" s="126"/>
      <c r="H87" s="126"/>
      <c r="I87" s="126"/>
      <c r="J87" s="127">
        <v>5.79E-2</v>
      </c>
      <c r="K87" s="127"/>
      <c r="L87" s="128"/>
      <c r="M87" s="128">
        <v>1500000</v>
      </c>
      <c r="N87" s="128">
        <v>1500000</v>
      </c>
      <c r="O87" s="128">
        <v>1500000</v>
      </c>
      <c r="P87" s="129">
        <f t="shared" si="5"/>
        <v>1</v>
      </c>
      <c r="Q87" s="130"/>
      <c r="R87" s="109"/>
      <c r="S87" s="110"/>
      <c r="T87" s="110"/>
    </row>
    <row r="88" spans="1:21" ht="13.5" customHeight="1" x14ac:dyDescent="0.2">
      <c r="A88" s="81">
        <v>41031</v>
      </c>
      <c r="B88" s="81">
        <v>41033</v>
      </c>
      <c r="C88" s="83" t="s">
        <v>78</v>
      </c>
      <c r="D88" s="84">
        <v>41396</v>
      </c>
      <c r="E88" s="85">
        <v>0</v>
      </c>
      <c r="F88" s="86">
        <v>0.04</v>
      </c>
      <c r="G88" s="86">
        <v>4.0236899999999999E-2</v>
      </c>
      <c r="H88" s="86">
        <v>4.4999999999999998E-2</v>
      </c>
      <c r="I88" s="86">
        <v>0.04</v>
      </c>
      <c r="J88" s="87">
        <v>4.0468799999999999E-2</v>
      </c>
      <c r="K88" s="87">
        <v>4.0625000000000001E-2</v>
      </c>
      <c r="L88" s="88">
        <v>6000000</v>
      </c>
      <c r="M88" s="88">
        <v>3550000</v>
      </c>
      <c r="N88" s="88">
        <v>900000</v>
      </c>
      <c r="O88" s="88">
        <v>900000</v>
      </c>
      <c r="P88" s="89">
        <f t="shared" si="5"/>
        <v>3.9444444444444446</v>
      </c>
      <c r="Q88" s="90">
        <v>4.0500000000000001E-2</v>
      </c>
      <c r="R88" s="54"/>
      <c r="S88" s="55">
        <f>O88*J88/$R$10</f>
        <v>37322250.631010182</v>
      </c>
      <c r="T88" s="55"/>
    </row>
    <row r="89" spans="1:21" ht="13.5" customHeight="1" x14ac:dyDescent="0.2">
      <c r="A89" s="92"/>
      <c r="B89" s="93"/>
      <c r="C89" s="83" t="s">
        <v>34</v>
      </c>
      <c r="D89" s="84">
        <v>42840</v>
      </c>
      <c r="E89" s="86">
        <v>6.25E-2</v>
      </c>
      <c r="F89" s="86">
        <v>5.1562499999999997E-2</v>
      </c>
      <c r="G89" s="86">
        <v>5.3037599999999997E-2</v>
      </c>
      <c r="H89" s="86">
        <v>5.5625000000000001E-2</v>
      </c>
      <c r="I89" s="86">
        <v>5.1562499999999997E-2</v>
      </c>
      <c r="J89" s="87">
        <v>5.2581299999999997E-2</v>
      </c>
      <c r="K89" s="87">
        <v>5.3124999999999999E-2</v>
      </c>
      <c r="L89" s="88"/>
      <c r="M89" s="88">
        <v>1562000</v>
      </c>
      <c r="N89" s="88">
        <v>1050000</v>
      </c>
      <c r="O89" s="88">
        <v>1050000</v>
      </c>
      <c r="P89" s="89">
        <f t="shared" si="5"/>
        <v>1.4876190476190476</v>
      </c>
      <c r="Q89" s="90">
        <v>5.2600000000000001E-2</v>
      </c>
      <c r="R89" s="54">
        <v>0</v>
      </c>
      <c r="S89" s="55">
        <v>0</v>
      </c>
      <c r="T89" s="55"/>
    </row>
    <row r="90" spans="1:21" ht="13.5" customHeight="1" x14ac:dyDescent="0.2">
      <c r="A90" s="92"/>
      <c r="B90" s="93"/>
      <c r="C90" s="83" t="s">
        <v>35</v>
      </c>
      <c r="D90" s="84">
        <v>44696</v>
      </c>
      <c r="E90" s="86">
        <v>7.0000000000000007E-2</v>
      </c>
      <c r="F90" s="86">
        <v>5.9687499999999998E-2</v>
      </c>
      <c r="G90" s="86">
        <v>6.0570300000000001E-2</v>
      </c>
      <c r="H90" s="86">
        <v>6.2812499999999993E-2</v>
      </c>
      <c r="I90" s="86">
        <v>5.9687499999999998E-2</v>
      </c>
      <c r="J90" s="87">
        <v>6.02964E-2</v>
      </c>
      <c r="K90" s="87">
        <v>6.0937499999999999E-2</v>
      </c>
      <c r="L90" s="88"/>
      <c r="M90" s="88">
        <v>3747500</v>
      </c>
      <c r="N90" s="88">
        <v>2750000</v>
      </c>
      <c r="O90" s="88">
        <v>2750000</v>
      </c>
      <c r="P90" s="89">
        <f t="shared" si="5"/>
        <v>1.3627272727272728</v>
      </c>
      <c r="Q90" s="90">
        <v>6.0299999999999999E-2</v>
      </c>
      <c r="R90" s="54">
        <v>0</v>
      </c>
      <c r="S90" s="55">
        <v>0</v>
      </c>
      <c r="T90" s="55"/>
    </row>
    <row r="91" spans="1:21" ht="13.5" customHeight="1" x14ac:dyDescent="0.2">
      <c r="A91" s="92"/>
      <c r="B91" s="93"/>
      <c r="C91" s="83" t="s">
        <v>32</v>
      </c>
      <c r="D91" s="84">
        <v>48380</v>
      </c>
      <c r="E91" s="86">
        <v>8.2500000000000004E-2</v>
      </c>
      <c r="F91" s="86">
        <v>6.7812499999999998E-2</v>
      </c>
      <c r="G91" s="86">
        <v>6.8773000000000001E-2</v>
      </c>
      <c r="H91" s="86">
        <v>7.0937500000000001E-2</v>
      </c>
      <c r="I91" s="86">
        <v>6.7812499999999998E-2</v>
      </c>
      <c r="J91" s="87">
        <v>6.8396399999999996E-2</v>
      </c>
      <c r="K91" s="87">
        <v>6.8750000000000006E-2</v>
      </c>
      <c r="L91" s="88"/>
      <c r="M91" s="88">
        <v>5862000</v>
      </c>
      <c r="N91" s="88">
        <v>2850000</v>
      </c>
      <c r="O91" s="88">
        <v>2850000</v>
      </c>
      <c r="P91" s="89">
        <f t="shared" si="5"/>
        <v>2.0568421052631578</v>
      </c>
      <c r="Q91" s="90">
        <v>6.8400000000000002E-2</v>
      </c>
      <c r="R91" s="54">
        <v>1.9887751488813776E-3</v>
      </c>
      <c r="S91" s="55">
        <v>29293528.561597757</v>
      </c>
      <c r="T91" s="60"/>
    </row>
    <row r="92" spans="1:21" ht="13.5" customHeight="1" x14ac:dyDescent="0.2">
      <c r="A92" s="58">
        <v>41037</v>
      </c>
      <c r="B92" s="59">
        <v>41039</v>
      </c>
      <c r="C92" s="17" t="s">
        <v>79</v>
      </c>
      <c r="D92" s="18">
        <v>41222</v>
      </c>
      <c r="E92" s="96"/>
      <c r="F92" s="26">
        <v>3.8124999999999999E-2</v>
      </c>
      <c r="G92" s="26"/>
      <c r="H92" s="26">
        <v>0.05</v>
      </c>
      <c r="I92" s="26"/>
      <c r="J92" s="26">
        <v>3.8288700000000002E-2</v>
      </c>
      <c r="K92" s="27"/>
      <c r="L92" s="21">
        <v>1000000</v>
      </c>
      <c r="M92" s="21">
        <v>1596000</v>
      </c>
      <c r="N92" s="21">
        <v>150000</v>
      </c>
      <c r="O92" s="21">
        <v>150000</v>
      </c>
      <c r="P92" s="64">
        <f t="shared" si="5"/>
        <v>10.64</v>
      </c>
      <c r="Q92" s="54"/>
      <c r="R92" s="54"/>
      <c r="S92" s="55">
        <f>O92*J92/$R$10</f>
        <v>5885276.4670378156</v>
      </c>
      <c r="T92" s="55"/>
    </row>
    <row r="93" spans="1:21" ht="13.5" customHeight="1" x14ac:dyDescent="0.2">
      <c r="A93" s="16"/>
      <c r="B93" s="1"/>
      <c r="C93" s="17" t="s">
        <v>48</v>
      </c>
      <c r="D93" s="18">
        <v>43146</v>
      </c>
      <c r="E93" s="96">
        <v>4.4499999999999998E-2</v>
      </c>
      <c r="F93" s="26">
        <v>5.6250000000000001E-2</v>
      </c>
      <c r="G93" s="26"/>
      <c r="H93" s="26">
        <v>6.5000000000000002E-2</v>
      </c>
      <c r="I93" s="26"/>
      <c r="J93" s="27"/>
      <c r="K93" s="27"/>
      <c r="L93" s="21"/>
      <c r="M93" s="21">
        <v>207000</v>
      </c>
      <c r="N93" s="21"/>
      <c r="O93" s="21"/>
      <c r="P93" s="64"/>
      <c r="Q93" s="54"/>
      <c r="R93" s="54"/>
      <c r="S93" s="55"/>
      <c r="T93" s="55"/>
    </row>
    <row r="94" spans="1:21" ht="13.5" customHeight="1" x14ac:dyDescent="0.2">
      <c r="A94" s="16"/>
      <c r="B94" s="1"/>
      <c r="C94" s="17" t="s">
        <v>49</v>
      </c>
      <c r="D94" s="18">
        <v>44576</v>
      </c>
      <c r="E94" s="96">
        <v>5.45E-2</v>
      </c>
      <c r="F94" s="26">
        <v>6.1874999999999999E-2</v>
      </c>
      <c r="G94" s="26"/>
      <c r="H94" s="26">
        <v>7.0000000000000007E-2</v>
      </c>
      <c r="I94" s="26"/>
      <c r="J94" s="27">
        <v>6.2195100000000003E-2</v>
      </c>
      <c r="K94" s="27"/>
      <c r="L94" s="21"/>
      <c r="M94" s="21">
        <v>361000</v>
      </c>
      <c r="N94" s="21">
        <v>225000</v>
      </c>
      <c r="O94" s="21">
        <v>225000</v>
      </c>
      <c r="P94" s="64">
        <f t="shared" si="5"/>
        <v>1.6044444444444443</v>
      </c>
      <c r="Q94" s="54"/>
      <c r="R94" s="54" t="e">
        <f>O94*J94/$O$43</f>
        <v>#DIV/0!</v>
      </c>
      <c r="S94" s="55">
        <f>O94*J94/$R$10</f>
        <v>14339819.257185424</v>
      </c>
      <c r="T94" s="55"/>
    </row>
    <row r="95" spans="1:21" ht="13.5" customHeight="1" x14ac:dyDescent="0.2">
      <c r="A95" s="16"/>
      <c r="B95" s="1"/>
      <c r="C95" s="17" t="s">
        <v>50</v>
      </c>
      <c r="D95" s="18">
        <v>46402</v>
      </c>
      <c r="E95" s="26">
        <v>0.06</v>
      </c>
      <c r="F95" s="26">
        <v>6.5625000000000003E-2</v>
      </c>
      <c r="G95" s="26"/>
      <c r="H95" s="26">
        <v>7.7499999999999999E-2</v>
      </c>
      <c r="I95" s="26"/>
      <c r="J95" s="27">
        <v>6.6106200000000004E-2</v>
      </c>
      <c r="K95" s="27"/>
      <c r="L95" s="21"/>
      <c r="M95" s="21">
        <v>651000</v>
      </c>
      <c r="N95" s="21">
        <v>640000</v>
      </c>
      <c r="O95" s="21">
        <v>640000</v>
      </c>
      <c r="P95" s="64">
        <f t="shared" si="5"/>
        <v>1.0171874999999999</v>
      </c>
      <c r="Q95" s="100"/>
      <c r="R95" s="54" t="e">
        <f>O95*J95/$O$43</f>
        <v>#DIV/0!</v>
      </c>
      <c r="S95" s="55">
        <f>O95*J95/$R$10</f>
        <v>43353798.629637286</v>
      </c>
      <c r="T95" s="55"/>
    </row>
    <row r="96" spans="1:21" ht="13.5" customHeight="1" x14ac:dyDescent="0.2">
      <c r="A96" s="16"/>
      <c r="B96" s="1"/>
      <c r="C96" s="17" t="s">
        <v>53</v>
      </c>
      <c r="D96" s="18">
        <v>50086</v>
      </c>
      <c r="E96" s="26">
        <v>6.0999999999999999E-2</v>
      </c>
      <c r="F96" s="26">
        <v>6.9375000000000006E-2</v>
      </c>
      <c r="G96" s="26"/>
      <c r="H96" s="26">
        <v>7.1874999999999994E-2</v>
      </c>
      <c r="I96" s="26"/>
      <c r="J96" s="27"/>
      <c r="K96" s="27"/>
      <c r="L96" s="21"/>
      <c r="M96" s="21">
        <v>264000</v>
      </c>
      <c r="N96" s="21"/>
      <c r="O96" s="21"/>
      <c r="P96" s="64"/>
      <c r="Q96" s="100"/>
      <c r="R96" s="54" t="e">
        <f>O96*J96/$O$43</f>
        <v>#DIV/0!</v>
      </c>
      <c r="S96" s="55">
        <f>O96*J96/$R$10</f>
        <v>0</v>
      </c>
      <c r="T96" s="55"/>
    </row>
    <row r="97" spans="1:20" ht="13.5" customHeight="1" x14ac:dyDescent="0.2">
      <c r="A97" s="58">
        <v>41038</v>
      </c>
      <c r="B97" s="59">
        <v>41039</v>
      </c>
      <c r="C97" s="17" t="s">
        <v>80</v>
      </c>
      <c r="D97" s="18">
        <v>41222</v>
      </c>
      <c r="E97" s="26"/>
      <c r="F97" s="26"/>
      <c r="G97" s="26"/>
      <c r="H97" s="26"/>
      <c r="I97" s="26"/>
      <c r="J97" s="26">
        <v>3.8288700000000002E-2</v>
      </c>
      <c r="K97" s="27"/>
      <c r="L97" s="21"/>
      <c r="M97" s="21">
        <v>755000</v>
      </c>
      <c r="N97" s="21">
        <v>755000</v>
      </c>
      <c r="O97" s="21">
        <v>755000</v>
      </c>
      <c r="P97" s="64">
        <f t="shared" si="5"/>
        <v>1</v>
      </c>
      <c r="Q97" s="100"/>
      <c r="R97" s="54"/>
      <c r="S97" s="55"/>
      <c r="T97" s="55"/>
    </row>
    <row r="98" spans="1:20" ht="13.5" customHeight="1" x14ac:dyDescent="0.2">
      <c r="A98" s="112">
        <v>41043</v>
      </c>
      <c r="B98" s="112">
        <v>41045</v>
      </c>
      <c r="C98" s="113" t="s">
        <v>81</v>
      </c>
      <c r="D98" s="114">
        <v>41108</v>
      </c>
      <c r="E98" s="115">
        <v>0</v>
      </c>
      <c r="F98" s="116">
        <v>3.5000000000000003E-2</v>
      </c>
      <c r="G98" s="116">
        <v>4.0708599999999998E-2</v>
      </c>
      <c r="H98" s="116">
        <v>4.2500000000000003E-2</v>
      </c>
      <c r="I98" s="116"/>
      <c r="J98" s="117"/>
      <c r="K98" s="117"/>
      <c r="L98" s="118">
        <v>6000000</v>
      </c>
      <c r="M98" s="118">
        <v>2655000</v>
      </c>
      <c r="N98" s="118">
        <v>0</v>
      </c>
      <c r="O98" s="118">
        <v>0</v>
      </c>
      <c r="P98" s="119">
        <v>0</v>
      </c>
      <c r="Q98" s="120">
        <v>3.2899999999999999E-2</v>
      </c>
      <c r="R98" s="54"/>
      <c r="S98" s="55">
        <f>O98*J98/$R$10</f>
        <v>0</v>
      </c>
      <c r="T98" s="55"/>
    </row>
    <row r="99" spans="1:20" ht="13.5" customHeight="1" x14ac:dyDescent="0.2">
      <c r="A99" s="92"/>
      <c r="B99" s="91"/>
      <c r="C99" s="83" t="s">
        <v>82</v>
      </c>
      <c r="D99" s="84">
        <v>41368</v>
      </c>
      <c r="E99" s="85">
        <v>0</v>
      </c>
      <c r="F99" s="86">
        <v>4.1875000000000002E-2</v>
      </c>
      <c r="G99" s="86">
        <v>4.6793800000000003E-2</v>
      </c>
      <c r="H99" s="86">
        <v>0.05</v>
      </c>
      <c r="I99" s="86"/>
      <c r="J99" s="87"/>
      <c r="K99" s="87"/>
      <c r="L99" s="88"/>
      <c r="M99" s="88">
        <v>2780000</v>
      </c>
      <c r="N99" s="88">
        <v>0</v>
      </c>
      <c r="O99" s="88">
        <v>0</v>
      </c>
      <c r="P99" s="89">
        <v>0</v>
      </c>
      <c r="Q99" s="90">
        <v>3.9699999999999999E-2</v>
      </c>
      <c r="R99" s="54"/>
      <c r="S99" s="55"/>
      <c r="T99" s="55"/>
    </row>
    <row r="100" spans="1:20" ht="13.5" customHeight="1" x14ac:dyDescent="0.2">
      <c r="A100" s="92"/>
      <c r="B100" s="93"/>
      <c r="C100" s="83" t="s">
        <v>35</v>
      </c>
      <c r="D100" s="84">
        <v>44696</v>
      </c>
      <c r="E100" s="86">
        <v>7.0000000000000007E-2</v>
      </c>
      <c r="F100" s="86">
        <v>6.2812499999999993E-2</v>
      </c>
      <c r="G100" s="86">
        <v>6.4113299999999998E-2</v>
      </c>
      <c r="H100" s="86">
        <v>6.5937499999999996E-2</v>
      </c>
      <c r="I100" s="86">
        <v>6.2812499999999993E-2</v>
      </c>
      <c r="J100" s="87">
        <v>6.2980800000000003E-2</v>
      </c>
      <c r="K100" s="87">
        <v>6.3125000000000001E-2</v>
      </c>
      <c r="L100" s="88"/>
      <c r="M100" s="88">
        <v>3511000</v>
      </c>
      <c r="N100" s="88">
        <v>500000</v>
      </c>
      <c r="O100" s="88">
        <v>500000</v>
      </c>
      <c r="P100" s="89">
        <f>M100/O100</f>
        <v>7.0220000000000002</v>
      </c>
      <c r="Q100" s="90">
        <v>6.3E-2</v>
      </c>
      <c r="R100" s="54">
        <v>0</v>
      </c>
      <c r="S100" s="55">
        <v>0</v>
      </c>
      <c r="T100" s="55"/>
    </row>
    <row r="101" spans="1:20" ht="13.5" customHeight="1" x14ac:dyDescent="0.2">
      <c r="A101" s="92"/>
      <c r="B101" s="93"/>
      <c r="C101" s="83" t="s">
        <v>43</v>
      </c>
      <c r="D101" s="84">
        <v>46522</v>
      </c>
      <c r="E101" s="86">
        <v>7.0000000000000007E-2</v>
      </c>
      <c r="F101" s="86">
        <v>6.6875000000000004E-2</v>
      </c>
      <c r="G101" s="86">
        <v>6.7849499999999993E-2</v>
      </c>
      <c r="H101" s="86">
        <v>7.0000000000000007E-2</v>
      </c>
      <c r="I101" s="86">
        <v>6.6875000000000004E-2</v>
      </c>
      <c r="J101" s="86">
        <v>6.6875000000000004E-2</v>
      </c>
      <c r="K101" s="86">
        <v>6.6875000000000004E-2</v>
      </c>
      <c r="L101" s="88"/>
      <c r="M101" s="88">
        <v>2100000</v>
      </c>
      <c r="N101" s="88">
        <v>300000</v>
      </c>
      <c r="O101" s="88">
        <v>275000</v>
      </c>
      <c r="P101" s="89">
        <f>M101/O101</f>
        <v>7.6363636363636367</v>
      </c>
      <c r="Q101" s="90">
        <v>6.6900000000000001E-2</v>
      </c>
      <c r="R101" s="54">
        <v>0</v>
      </c>
      <c r="S101" s="55">
        <v>0</v>
      </c>
      <c r="T101" s="55"/>
    </row>
    <row r="102" spans="1:20" ht="13.5" customHeight="1" x14ac:dyDescent="0.2">
      <c r="A102" s="121"/>
      <c r="B102" s="141"/>
      <c r="C102" s="123" t="s">
        <v>32</v>
      </c>
      <c r="D102" s="124">
        <v>48380</v>
      </c>
      <c r="E102" s="126">
        <v>8.2500000000000004E-2</v>
      </c>
      <c r="F102" s="126">
        <v>7.0000000000000007E-2</v>
      </c>
      <c r="G102" s="126">
        <v>7.1698100000000001E-2</v>
      </c>
      <c r="H102" s="126">
        <v>7.4999999999999997E-2</v>
      </c>
      <c r="I102" s="126"/>
      <c r="J102" s="127"/>
      <c r="K102" s="127"/>
      <c r="L102" s="128"/>
      <c r="M102" s="128">
        <v>2263000</v>
      </c>
      <c r="N102" s="128">
        <v>0</v>
      </c>
      <c r="O102" s="128">
        <v>0</v>
      </c>
      <c r="P102" s="129"/>
      <c r="Q102" s="130">
        <v>6.9500000000000006E-2</v>
      </c>
      <c r="R102" s="54">
        <v>1.9887751488813776E-3</v>
      </c>
      <c r="S102" s="55">
        <v>29293528.561597757</v>
      </c>
      <c r="T102" s="60"/>
    </row>
    <row r="103" spans="1:20" ht="13.5" customHeight="1" x14ac:dyDescent="0.2">
      <c r="A103" s="58">
        <v>41051</v>
      </c>
      <c r="B103" s="59">
        <v>41053</v>
      </c>
      <c r="C103" s="17" t="s">
        <v>48</v>
      </c>
      <c r="D103" s="18">
        <v>43146</v>
      </c>
      <c r="E103" s="96">
        <v>4.4499999999999998E-2</v>
      </c>
      <c r="F103" s="26"/>
      <c r="G103" s="26"/>
      <c r="H103" s="26"/>
      <c r="I103" s="26"/>
      <c r="J103" s="27"/>
      <c r="K103" s="27"/>
      <c r="L103" s="21">
        <v>1000000</v>
      </c>
      <c r="M103" s="21">
        <v>145000</v>
      </c>
      <c r="N103" s="21">
        <v>115000</v>
      </c>
      <c r="O103" s="21">
        <v>115000</v>
      </c>
      <c r="P103" s="64"/>
      <c r="Q103" s="54"/>
      <c r="R103" s="54"/>
      <c r="S103" s="55">
        <f>O103*J103/$R$10</f>
        <v>0</v>
      </c>
      <c r="T103" s="55"/>
    </row>
    <row r="104" spans="1:20" ht="13.5" customHeight="1" x14ac:dyDescent="0.2">
      <c r="A104" s="16"/>
      <c r="B104" s="1"/>
      <c r="C104" s="17" t="s">
        <v>49</v>
      </c>
      <c r="D104" s="18">
        <v>44576</v>
      </c>
      <c r="E104" s="96">
        <v>5.45E-2</v>
      </c>
      <c r="F104" s="26"/>
      <c r="G104" s="26"/>
      <c r="H104" s="26"/>
      <c r="I104" s="26"/>
      <c r="J104" s="27"/>
      <c r="K104" s="27"/>
      <c r="L104" s="21"/>
      <c r="M104" s="21">
        <v>306000</v>
      </c>
      <c r="N104" s="21">
        <v>105000</v>
      </c>
      <c r="O104" s="21">
        <v>105000</v>
      </c>
      <c r="P104" s="64"/>
      <c r="Q104" s="54"/>
      <c r="R104" s="54"/>
      <c r="S104" s="55"/>
      <c r="T104" s="55"/>
    </row>
    <row r="105" spans="1:20" ht="13.5" customHeight="1" x14ac:dyDescent="0.2">
      <c r="A105" s="16"/>
      <c r="B105" s="1"/>
      <c r="C105" s="17" t="s">
        <v>50</v>
      </c>
      <c r="D105" s="18">
        <v>46402</v>
      </c>
      <c r="E105" s="26">
        <v>0.06</v>
      </c>
      <c r="F105" s="26"/>
      <c r="G105" s="26"/>
      <c r="H105" s="26"/>
      <c r="I105" s="26"/>
      <c r="J105" s="27"/>
      <c r="K105" s="27"/>
      <c r="L105" s="21"/>
      <c r="M105" s="21">
        <v>124000</v>
      </c>
      <c r="N105" s="21"/>
      <c r="O105" s="21"/>
      <c r="P105" s="64"/>
      <c r="Q105" s="100"/>
      <c r="R105" s="54" t="e">
        <f>O105*J105/$O$43</f>
        <v>#DIV/0!</v>
      </c>
      <c r="S105" s="55">
        <f>O105*J105/$R$10</f>
        <v>0</v>
      </c>
      <c r="T105" s="55"/>
    </row>
    <row r="106" spans="1:20" ht="13.5" customHeight="1" x14ac:dyDescent="0.2">
      <c r="A106" s="16"/>
      <c r="B106" s="1"/>
      <c r="C106" s="17" t="s">
        <v>53</v>
      </c>
      <c r="D106" s="18">
        <v>50086</v>
      </c>
      <c r="E106" s="26">
        <v>6.0999999999999999E-2</v>
      </c>
      <c r="F106" s="26"/>
      <c r="G106" s="26"/>
      <c r="H106" s="26"/>
      <c r="I106" s="26"/>
      <c r="J106" s="27"/>
      <c r="K106" s="27"/>
      <c r="L106" s="21"/>
      <c r="M106" s="21">
        <v>843000</v>
      </c>
      <c r="N106" s="21">
        <v>330000</v>
      </c>
      <c r="O106" s="21">
        <v>330000</v>
      </c>
      <c r="P106" s="64"/>
      <c r="Q106" s="100"/>
      <c r="R106" s="54" t="e">
        <f>O106*J106/$O$43</f>
        <v>#DIV/0!</v>
      </c>
      <c r="S106" s="55">
        <f>O106*J106/$R$10</f>
        <v>0</v>
      </c>
      <c r="T106" s="55"/>
    </row>
    <row r="107" spans="1:20" ht="13.5" customHeight="1" x14ac:dyDescent="0.2">
      <c r="A107" s="58">
        <v>41059</v>
      </c>
      <c r="B107" s="59">
        <v>41059</v>
      </c>
      <c r="C107" s="17" t="s">
        <v>84</v>
      </c>
      <c r="D107" s="18">
        <v>43250</v>
      </c>
      <c r="E107" s="26">
        <v>6.0600000000000001E-2</v>
      </c>
      <c r="F107" s="26"/>
      <c r="G107" s="26"/>
      <c r="H107" s="26"/>
      <c r="I107" s="26"/>
      <c r="J107" s="26">
        <v>6.0600000000000001E-2</v>
      </c>
      <c r="K107" s="27"/>
      <c r="L107" s="21"/>
      <c r="M107" s="21">
        <v>2500000</v>
      </c>
      <c r="N107" s="21">
        <v>2500000</v>
      </c>
      <c r="O107" s="21">
        <v>2500000</v>
      </c>
      <c r="P107" s="64">
        <f>M107/O107</f>
        <v>1</v>
      </c>
      <c r="Q107" s="100"/>
      <c r="R107" s="54"/>
      <c r="S107" s="55"/>
      <c r="T107" s="55"/>
    </row>
    <row r="108" spans="1:20" ht="13.5" customHeight="1" x14ac:dyDescent="0.2">
      <c r="A108" s="112">
        <v>41065</v>
      </c>
      <c r="B108" s="112">
        <v>41067</v>
      </c>
      <c r="C108" s="113" t="s">
        <v>83</v>
      </c>
      <c r="D108" s="114">
        <v>41431</v>
      </c>
      <c r="E108" s="115">
        <v>0</v>
      </c>
      <c r="F108" s="116">
        <v>4.1250000000000002E-2</v>
      </c>
      <c r="G108" s="116">
        <v>4.5435400000000001E-2</v>
      </c>
      <c r="H108" s="116">
        <v>4.8125000000000001E-2</v>
      </c>
      <c r="I108" s="86">
        <v>4.1250000000000002E-2</v>
      </c>
      <c r="J108" s="86">
        <v>4.1250000000000002E-2</v>
      </c>
      <c r="K108" s="86">
        <v>4.1250000000000002E-2</v>
      </c>
      <c r="L108" s="118">
        <v>5000000</v>
      </c>
      <c r="M108" s="118">
        <v>2425000</v>
      </c>
      <c r="N108" s="118">
        <v>1780000</v>
      </c>
      <c r="O108" s="118">
        <v>730000</v>
      </c>
      <c r="P108" s="89">
        <f t="shared" ref="P108:P113" si="6">M108/O108</f>
        <v>3.3219178082191783</v>
      </c>
      <c r="Q108" s="120">
        <v>4.4499999999999998E-2</v>
      </c>
      <c r="R108" s="54"/>
      <c r="S108" s="55">
        <f>O108*J108/$R$10</f>
        <v>30856865.100090668</v>
      </c>
      <c r="T108" s="55"/>
    </row>
    <row r="109" spans="1:20" ht="13.5" customHeight="1" x14ac:dyDescent="0.2">
      <c r="A109" s="92"/>
      <c r="B109" s="91"/>
      <c r="C109" s="83" t="s">
        <v>34</v>
      </c>
      <c r="D109" s="84">
        <v>42840</v>
      </c>
      <c r="E109" s="86">
        <v>6.25E-2</v>
      </c>
      <c r="F109" s="86">
        <v>5.4062499999999999E-2</v>
      </c>
      <c r="G109" s="86">
        <v>5.6661599999999999E-2</v>
      </c>
      <c r="H109" s="86">
        <v>0.06</v>
      </c>
      <c r="I109" s="86">
        <v>5.4062499999999999E-2</v>
      </c>
      <c r="J109" s="86">
        <v>5.5689500000000003E-2</v>
      </c>
      <c r="K109" s="86">
        <v>5.6562500000000002E-2</v>
      </c>
      <c r="L109" s="88"/>
      <c r="M109" s="88">
        <v>2680000</v>
      </c>
      <c r="N109" s="88">
        <v>1550000</v>
      </c>
      <c r="O109" s="88">
        <v>1550000</v>
      </c>
      <c r="P109" s="89">
        <f t="shared" si="6"/>
        <v>1.7290322580645161</v>
      </c>
      <c r="Q109" s="90">
        <v>5.57E-2</v>
      </c>
      <c r="R109" s="54"/>
      <c r="S109" s="55"/>
      <c r="T109" s="55"/>
    </row>
    <row r="110" spans="1:20" ht="13.5" customHeight="1" x14ac:dyDescent="0.2">
      <c r="A110" s="92"/>
      <c r="B110" s="93"/>
      <c r="C110" s="83" t="s">
        <v>35</v>
      </c>
      <c r="D110" s="84">
        <v>44696</v>
      </c>
      <c r="E110" s="86">
        <v>7.0000000000000007E-2</v>
      </c>
      <c r="F110" s="86">
        <v>6.4375000000000002E-2</v>
      </c>
      <c r="G110" s="86">
        <v>6.53035E-2</v>
      </c>
      <c r="H110" s="86">
        <v>6.8750000000000006E-2</v>
      </c>
      <c r="I110" s="86">
        <v>6.4375000000000002E-2</v>
      </c>
      <c r="J110" s="86">
        <v>6.5028199999999994E-2</v>
      </c>
      <c r="K110" s="86">
        <v>6.5625000000000003E-2</v>
      </c>
      <c r="L110" s="88"/>
      <c r="M110" s="88">
        <v>4652000</v>
      </c>
      <c r="N110" s="88">
        <v>3800000</v>
      </c>
      <c r="O110" s="88">
        <v>3500000</v>
      </c>
      <c r="P110" s="89">
        <f t="shared" si="6"/>
        <v>1.3291428571428572</v>
      </c>
      <c r="Q110" s="90">
        <v>6.5100000000000005E-2</v>
      </c>
      <c r="R110" s="54">
        <v>0</v>
      </c>
      <c r="S110" s="55">
        <v>0</v>
      </c>
      <c r="T110" s="55"/>
    </row>
    <row r="111" spans="1:20" ht="13.5" customHeight="1" x14ac:dyDescent="0.2">
      <c r="A111" s="92"/>
      <c r="B111" s="93"/>
      <c r="C111" s="123" t="s">
        <v>32</v>
      </c>
      <c r="D111" s="124">
        <v>48380</v>
      </c>
      <c r="E111" s="126">
        <v>8.2500000000000004E-2</v>
      </c>
      <c r="F111" s="86">
        <v>7.2187500000000002E-2</v>
      </c>
      <c r="G111" s="86">
        <v>7.2802599999999995E-2</v>
      </c>
      <c r="H111" s="86">
        <v>7.3749999999999996E-2</v>
      </c>
      <c r="I111" s="86">
        <v>7.2187500000000002E-2</v>
      </c>
      <c r="J111" s="86">
        <v>7.2480900000000001E-2</v>
      </c>
      <c r="K111" s="86">
        <v>7.2499999999999995E-2</v>
      </c>
      <c r="L111" s="88"/>
      <c r="M111" s="88">
        <v>4410000</v>
      </c>
      <c r="N111" s="88">
        <v>1900000</v>
      </c>
      <c r="O111" s="88">
        <v>1720000</v>
      </c>
      <c r="P111" s="89">
        <f t="shared" si="6"/>
        <v>2.5639534883720931</v>
      </c>
      <c r="Q111" s="90">
        <v>7.2499999999999995E-2</v>
      </c>
      <c r="R111" s="54">
        <v>0</v>
      </c>
      <c r="S111" s="55">
        <v>0</v>
      </c>
      <c r="T111" s="55"/>
    </row>
    <row r="112" spans="1:20" ht="13.5" customHeight="1" x14ac:dyDescent="0.2">
      <c r="A112" s="58">
        <v>41072</v>
      </c>
      <c r="B112" s="59">
        <v>41074</v>
      </c>
      <c r="C112" s="17" t="s">
        <v>85</v>
      </c>
      <c r="D112" s="18"/>
      <c r="E112" s="96"/>
      <c r="F112" s="26"/>
      <c r="G112" s="26"/>
      <c r="H112" s="26"/>
      <c r="I112" s="26"/>
      <c r="J112" s="26"/>
      <c r="K112" s="27"/>
      <c r="L112" s="21">
        <v>1000000</v>
      </c>
      <c r="M112" s="21">
        <v>726000</v>
      </c>
      <c r="N112" s="21"/>
      <c r="O112" s="21"/>
      <c r="P112" s="64"/>
      <c r="Q112" s="54"/>
      <c r="R112" s="54"/>
      <c r="S112" s="55">
        <f>O112*J112/$R$10</f>
        <v>0</v>
      </c>
      <c r="T112" s="55"/>
    </row>
    <row r="113" spans="1:20" ht="13.5" customHeight="1" x14ac:dyDescent="0.2">
      <c r="A113" s="16"/>
      <c r="B113" s="1"/>
      <c r="C113" s="17" t="s">
        <v>48</v>
      </c>
      <c r="D113" s="18">
        <v>43146</v>
      </c>
      <c r="E113" s="96">
        <v>4.4499999999999998E-2</v>
      </c>
      <c r="F113" s="26"/>
      <c r="G113" s="26"/>
      <c r="H113" s="26"/>
      <c r="I113" s="26"/>
      <c r="J113" s="27"/>
      <c r="K113" s="27"/>
      <c r="L113" s="21"/>
      <c r="M113" s="21">
        <v>1146000</v>
      </c>
      <c r="N113" s="21"/>
      <c r="O113" s="21">
        <v>800000</v>
      </c>
      <c r="P113" s="64">
        <f t="shared" si="6"/>
        <v>1.4325000000000001</v>
      </c>
      <c r="Q113" s="54"/>
      <c r="R113" s="54"/>
      <c r="S113" s="55"/>
      <c r="T113" s="55"/>
    </row>
    <row r="114" spans="1:20" ht="13.5" customHeight="1" x14ac:dyDescent="0.2">
      <c r="A114" s="16"/>
      <c r="B114" s="1"/>
      <c r="C114" s="17" t="s">
        <v>49</v>
      </c>
      <c r="D114" s="18">
        <v>44576</v>
      </c>
      <c r="E114" s="96">
        <v>5.45E-2</v>
      </c>
      <c r="F114" s="26"/>
      <c r="G114" s="26"/>
      <c r="H114" s="26"/>
      <c r="I114" s="26"/>
      <c r="J114" s="27"/>
      <c r="K114" s="27"/>
      <c r="L114" s="21"/>
      <c r="M114" s="21">
        <v>101000</v>
      </c>
      <c r="N114" s="21"/>
      <c r="O114" s="21"/>
      <c r="P114" s="64"/>
      <c r="Q114" s="54"/>
      <c r="R114" s="54" t="e">
        <f>O114*J114/$O$43</f>
        <v>#DIV/0!</v>
      </c>
      <c r="S114" s="55">
        <f>O114*J114/$R$10</f>
        <v>0</v>
      </c>
      <c r="T114" s="55"/>
    </row>
    <row r="115" spans="1:20" ht="13.5" customHeight="1" x14ac:dyDescent="0.2">
      <c r="A115" s="16"/>
      <c r="B115" s="1"/>
      <c r="C115" s="17" t="s">
        <v>50</v>
      </c>
      <c r="D115" s="18">
        <v>46402</v>
      </c>
      <c r="E115" s="26">
        <v>0.06</v>
      </c>
      <c r="F115" s="26"/>
      <c r="G115" s="26"/>
      <c r="H115" s="26"/>
      <c r="I115" s="26"/>
      <c r="J115" s="27"/>
      <c r="K115" s="27"/>
      <c r="L115" s="21"/>
      <c r="M115" s="21">
        <v>31000</v>
      </c>
      <c r="N115" s="21"/>
      <c r="O115" s="21"/>
      <c r="P115" s="64"/>
      <c r="Q115" s="100"/>
      <c r="R115" s="54" t="e">
        <f>O115*J115/$O$43</f>
        <v>#DIV/0!</v>
      </c>
      <c r="S115" s="55">
        <f>O115*J115/$R$10</f>
        <v>0</v>
      </c>
      <c r="T115" s="55"/>
    </row>
    <row r="116" spans="1:20" ht="13.5" customHeight="1" x14ac:dyDescent="0.2">
      <c r="A116" s="16"/>
      <c r="B116" s="1"/>
      <c r="C116" s="17" t="s">
        <v>53</v>
      </c>
      <c r="D116" s="18">
        <v>50086</v>
      </c>
      <c r="E116" s="26">
        <v>6.0999999999999999E-2</v>
      </c>
      <c r="F116" s="26"/>
      <c r="G116" s="26"/>
      <c r="H116" s="26"/>
      <c r="I116" s="26"/>
      <c r="J116" s="27"/>
      <c r="K116" s="27"/>
      <c r="L116" s="21"/>
      <c r="M116" s="21">
        <v>259000</v>
      </c>
      <c r="N116" s="21"/>
      <c r="O116" s="21"/>
      <c r="P116" s="64"/>
      <c r="Q116" s="100"/>
      <c r="R116" s="54" t="e">
        <f>O116*J116/$O$43</f>
        <v>#DIV/0!</v>
      </c>
      <c r="S116" s="55">
        <f>O116*J116/$R$10</f>
        <v>0</v>
      </c>
      <c r="T116" s="55"/>
    </row>
    <row r="117" spans="1:20" ht="13.5" customHeight="1" x14ac:dyDescent="0.2">
      <c r="A117" s="112">
        <v>41079</v>
      </c>
      <c r="B117" s="112">
        <v>41081</v>
      </c>
      <c r="C117" s="113" t="s">
        <v>86</v>
      </c>
      <c r="D117" s="114">
        <v>41172</v>
      </c>
      <c r="E117" s="115">
        <v>0</v>
      </c>
      <c r="F117" s="116">
        <v>3.8124999999999999E-2</v>
      </c>
      <c r="G117" s="116">
        <v>4.0517400000000002E-2</v>
      </c>
      <c r="H117" s="116">
        <v>4.2812500000000003E-2</v>
      </c>
      <c r="I117" s="116">
        <v>3.8124999999999999E-2</v>
      </c>
      <c r="J117" s="117">
        <v>3.8978100000000002E-2</v>
      </c>
      <c r="K117" s="117">
        <v>3.9375E-2</v>
      </c>
      <c r="L117" s="118">
        <v>5000000</v>
      </c>
      <c r="M117" s="118">
        <v>1685000</v>
      </c>
      <c r="N117" s="118">
        <v>500000</v>
      </c>
      <c r="O117" s="118">
        <v>500000</v>
      </c>
      <c r="P117" s="89">
        <f t="shared" ref="P117:P122" si="7">M117/O117</f>
        <v>3.37</v>
      </c>
      <c r="Q117" s="120">
        <v>3.9E-2</v>
      </c>
      <c r="R117" s="54"/>
      <c r="S117" s="55">
        <f>O117*J117/$R$10</f>
        <v>19970809.025451954</v>
      </c>
      <c r="T117" s="55"/>
    </row>
    <row r="118" spans="1:20" ht="13.5" customHeight="1" x14ac:dyDescent="0.2">
      <c r="A118" s="92"/>
      <c r="B118" s="91"/>
      <c r="C118" s="113" t="s">
        <v>87</v>
      </c>
      <c r="D118" s="114">
        <v>41431</v>
      </c>
      <c r="E118" s="85">
        <v>0</v>
      </c>
      <c r="F118" s="86">
        <v>4.2500000000000003E-2</v>
      </c>
      <c r="G118" s="86">
        <v>4.4346900000000002E-2</v>
      </c>
      <c r="H118" s="86">
        <v>4.8750000000000002E-2</v>
      </c>
      <c r="I118" s="86">
        <v>4.2500000000000003E-2</v>
      </c>
      <c r="J118" s="87">
        <v>4.3333299999999998E-2</v>
      </c>
      <c r="K118" s="87">
        <v>4.3749999999999997E-2</v>
      </c>
      <c r="L118" s="88"/>
      <c r="M118" s="88">
        <v>1271400</v>
      </c>
      <c r="N118" s="88">
        <v>1250000</v>
      </c>
      <c r="O118" s="88">
        <v>1150000</v>
      </c>
      <c r="P118" s="89">
        <f t="shared" si="7"/>
        <v>1.1055652173913044</v>
      </c>
      <c r="Q118" s="90">
        <v>4.3999999999999997E-2</v>
      </c>
      <c r="R118" s="54"/>
      <c r="S118" s="55"/>
      <c r="T118" s="55"/>
    </row>
    <row r="119" spans="1:20" ht="13.5" customHeight="1" x14ac:dyDescent="0.2">
      <c r="A119" s="92"/>
      <c r="B119" s="93"/>
      <c r="C119" s="83" t="s">
        <v>35</v>
      </c>
      <c r="D119" s="84">
        <v>44696</v>
      </c>
      <c r="E119" s="86">
        <v>7.0000000000000007E-2</v>
      </c>
      <c r="F119" s="86">
        <v>6.3437499999999994E-2</v>
      </c>
      <c r="G119" s="86">
        <v>6.4400700000000005E-2</v>
      </c>
      <c r="H119" s="86">
        <v>6.5625000000000003E-2</v>
      </c>
      <c r="I119" s="86">
        <v>6.3437499999999994E-2</v>
      </c>
      <c r="J119" s="87">
        <v>6.3898899999999995E-2</v>
      </c>
      <c r="K119" s="87">
        <v>6.4062499999999994E-2</v>
      </c>
      <c r="L119" s="88"/>
      <c r="M119" s="88">
        <v>4972000</v>
      </c>
      <c r="N119" s="88">
        <v>950000</v>
      </c>
      <c r="O119" s="88">
        <v>950000</v>
      </c>
      <c r="P119" s="89">
        <f t="shared" si="7"/>
        <v>5.2336842105263157</v>
      </c>
      <c r="Q119" s="90">
        <v>6.3899999999999998E-2</v>
      </c>
      <c r="R119" s="54">
        <v>0</v>
      </c>
      <c r="S119" s="55">
        <v>0</v>
      </c>
      <c r="T119" s="55"/>
    </row>
    <row r="120" spans="1:20" ht="13.5" customHeight="1" x14ac:dyDescent="0.2">
      <c r="A120" s="92"/>
      <c r="B120" s="93"/>
      <c r="C120" s="83" t="s">
        <v>43</v>
      </c>
      <c r="D120" s="84">
        <v>46522</v>
      </c>
      <c r="E120" s="86">
        <v>7.0000000000000007E-2</v>
      </c>
      <c r="F120" s="86">
        <v>6.7187499999999997E-2</v>
      </c>
      <c r="G120" s="86">
        <v>6.7648200000000006E-2</v>
      </c>
      <c r="H120" s="86">
        <v>6.9062499999999999E-2</v>
      </c>
      <c r="I120" s="86">
        <v>6.7187499999999997E-2</v>
      </c>
      <c r="J120" s="86">
        <v>6.7388000000000003E-2</v>
      </c>
      <c r="K120" s="86">
        <v>6.7812499999999998E-2</v>
      </c>
      <c r="L120" s="88"/>
      <c r="M120" s="88">
        <v>2540000</v>
      </c>
      <c r="N120" s="88">
        <v>1600000</v>
      </c>
      <c r="O120" s="88">
        <v>1600000</v>
      </c>
      <c r="P120" s="89">
        <f t="shared" si="7"/>
        <v>1.5874999999999999</v>
      </c>
      <c r="Q120" s="90">
        <v>6.7400000000000002E-2</v>
      </c>
      <c r="R120" s="54">
        <v>0</v>
      </c>
      <c r="S120" s="55">
        <v>0</v>
      </c>
      <c r="T120" s="55"/>
    </row>
    <row r="121" spans="1:20" ht="13.5" customHeight="1" x14ac:dyDescent="0.2">
      <c r="A121" s="121"/>
      <c r="B121" s="141"/>
      <c r="C121" s="123" t="s">
        <v>32</v>
      </c>
      <c r="D121" s="124">
        <v>48380</v>
      </c>
      <c r="E121" s="126">
        <v>8.2500000000000004E-2</v>
      </c>
      <c r="F121" s="126">
        <v>7.03125E-2</v>
      </c>
      <c r="G121" s="126">
        <v>7.1506700000000006E-2</v>
      </c>
      <c r="H121" s="126">
        <v>7.2499999999999995E-2</v>
      </c>
      <c r="I121" s="126">
        <v>7.03125E-2</v>
      </c>
      <c r="J121" s="127">
        <v>7.1447399999999994E-2</v>
      </c>
      <c r="K121" s="127">
        <v>7.1874999999999994E-2</v>
      </c>
      <c r="L121" s="128"/>
      <c r="M121" s="128">
        <v>2848000</v>
      </c>
      <c r="N121" s="128">
        <v>2800000</v>
      </c>
      <c r="O121" s="128">
        <v>2650000</v>
      </c>
      <c r="P121" s="89">
        <f t="shared" si="7"/>
        <v>1.0747169811320754</v>
      </c>
      <c r="Q121" s="130">
        <v>7.1499999999999994E-2</v>
      </c>
      <c r="R121" s="54">
        <v>1.9887751488813776E-3</v>
      </c>
      <c r="S121" s="55">
        <v>29293528.561597757</v>
      </c>
      <c r="T121" s="60"/>
    </row>
    <row r="122" spans="1:20" ht="13.5" customHeight="1" x14ac:dyDescent="0.2">
      <c r="A122" s="58">
        <v>41086</v>
      </c>
      <c r="B122" s="59">
        <v>41088</v>
      </c>
      <c r="C122" s="17" t="s">
        <v>48</v>
      </c>
      <c r="D122" s="18">
        <v>43146</v>
      </c>
      <c r="E122" s="96">
        <v>4.4499999999999998E-2</v>
      </c>
      <c r="F122" s="26">
        <v>5.8125000000000003E-2</v>
      </c>
      <c r="G122" s="26"/>
      <c r="H122" s="26">
        <v>7.0000000000000007E-2</v>
      </c>
      <c r="I122" s="26"/>
      <c r="J122" s="26">
        <v>5.90935E-2</v>
      </c>
      <c r="K122" s="27"/>
      <c r="L122" s="21">
        <v>1000000</v>
      </c>
      <c r="M122" s="21">
        <v>916000</v>
      </c>
      <c r="N122" s="21"/>
      <c r="O122" s="21">
        <v>655000</v>
      </c>
      <c r="P122" s="64">
        <f t="shared" si="7"/>
        <v>1.3984732824427482</v>
      </c>
      <c r="Q122" s="54"/>
      <c r="R122" s="54"/>
      <c r="S122" s="55">
        <f>O122*J122/$R$10</f>
        <v>39663040.377049267</v>
      </c>
      <c r="T122" s="55"/>
    </row>
    <row r="123" spans="1:20" ht="13.5" customHeight="1" x14ac:dyDescent="0.2">
      <c r="A123" s="16"/>
      <c r="B123" s="1"/>
      <c r="C123" s="17" t="s">
        <v>49</v>
      </c>
      <c r="D123" s="18">
        <v>44576</v>
      </c>
      <c r="E123" s="96">
        <v>5.45E-2</v>
      </c>
      <c r="F123" s="26">
        <v>6.5312499999999996E-2</v>
      </c>
      <c r="G123" s="26"/>
      <c r="H123" s="26">
        <v>7.0000000000000007E-2</v>
      </c>
      <c r="I123" s="26"/>
      <c r="J123" s="27"/>
      <c r="K123" s="27"/>
      <c r="L123" s="21"/>
      <c r="M123" s="21">
        <v>266000</v>
      </c>
      <c r="N123" s="21"/>
      <c r="O123" s="21"/>
      <c r="P123" s="64"/>
      <c r="Q123" s="54"/>
      <c r="R123" s="54"/>
      <c r="S123" s="55"/>
      <c r="T123" s="55"/>
    </row>
    <row r="124" spans="1:20" ht="13.5" customHeight="1" x14ac:dyDescent="0.2">
      <c r="A124" s="16"/>
      <c r="B124" s="1"/>
      <c r="C124" s="17" t="s">
        <v>50</v>
      </c>
      <c r="D124" s="18">
        <v>46402</v>
      </c>
      <c r="E124" s="26">
        <v>0.06</v>
      </c>
      <c r="F124" s="26">
        <v>6.9375000000000006E-2</v>
      </c>
      <c r="G124" s="26"/>
      <c r="H124" s="26">
        <v>7.4999999999999997E-2</v>
      </c>
      <c r="I124" s="26"/>
      <c r="J124" s="27"/>
      <c r="K124" s="27"/>
      <c r="L124" s="21"/>
      <c r="M124" s="21">
        <v>261000</v>
      </c>
      <c r="N124" s="21"/>
      <c r="O124" s="21"/>
      <c r="P124" s="64"/>
      <c r="Q124" s="54"/>
      <c r="R124" s="54" t="e">
        <f>O124*J124/$O$43</f>
        <v>#DIV/0!</v>
      </c>
      <c r="S124" s="55">
        <f>O124*J124/$R$10</f>
        <v>0</v>
      </c>
      <c r="T124" s="55"/>
    </row>
    <row r="125" spans="1:20" ht="13.5" customHeight="1" x14ac:dyDescent="0.2">
      <c r="A125" s="16"/>
      <c r="B125" s="1"/>
      <c r="C125" s="17" t="s">
        <v>53</v>
      </c>
      <c r="D125" s="18">
        <v>50086</v>
      </c>
      <c r="E125" s="26">
        <v>6.0999999999999999E-2</v>
      </c>
      <c r="F125" s="26">
        <v>7.2812500000000002E-2</v>
      </c>
      <c r="G125" s="26"/>
      <c r="H125" s="26">
        <v>7.8750000000000001E-2</v>
      </c>
      <c r="I125" s="26"/>
      <c r="J125" s="27"/>
      <c r="K125" s="27"/>
      <c r="L125" s="21"/>
      <c r="M125" s="21">
        <v>150000</v>
      </c>
      <c r="N125" s="21"/>
      <c r="O125" s="21"/>
      <c r="P125" s="64"/>
      <c r="Q125" s="100"/>
      <c r="R125" s="54" t="e">
        <f>O125*J125/$O$43</f>
        <v>#DIV/0!</v>
      </c>
      <c r="S125" s="55">
        <f>O125*J125/$R$10</f>
        <v>0</v>
      </c>
      <c r="T125" s="55"/>
    </row>
    <row r="126" spans="1:20" ht="13.5" customHeight="1" x14ac:dyDescent="0.2">
      <c r="A126" s="58">
        <v>41088</v>
      </c>
      <c r="B126" s="59">
        <v>41088</v>
      </c>
      <c r="C126" s="17" t="s">
        <v>103</v>
      </c>
      <c r="D126" s="18">
        <v>42183</v>
      </c>
      <c r="E126" s="26">
        <v>5.21E-2</v>
      </c>
      <c r="F126" s="26"/>
      <c r="G126" s="26"/>
      <c r="H126" s="26"/>
      <c r="I126" s="26"/>
      <c r="J126" s="26"/>
      <c r="K126" s="27"/>
      <c r="L126" s="21">
        <v>2000000</v>
      </c>
      <c r="M126" s="21">
        <v>1000000</v>
      </c>
      <c r="N126" s="21">
        <v>1000000</v>
      </c>
      <c r="O126" s="21">
        <v>1000000</v>
      </c>
      <c r="P126" s="64">
        <f t="shared" ref="P126:P131" si="8">M126/O126</f>
        <v>1</v>
      </c>
      <c r="Q126" s="100"/>
      <c r="R126" s="54"/>
      <c r="S126" s="55"/>
      <c r="T126" s="55"/>
    </row>
    <row r="127" spans="1:20" ht="13.5" customHeight="1" x14ac:dyDescent="0.2">
      <c r="A127" s="58"/>
      <c r="B127" s="80"/>
      <c r="C127" s="17" t="s">
        <v>104</v>
      </c>
      <c r="D127" s="18">
        <v>44010</v>
      </c>
      <c r="E127" s="26">
        <v>6.2E-2</v>
      </c>
      <c r="F127" s="26"/>
      <c r="G127" s="26"/>
      <c r="H127" s="26"/>
      <c r="I127" s="26"/>
      <c r="J127" s="26"/>
      <c r="K127" s="152"/>
      <c r="L127" s="21"/>
      <c r="M127" s="21">
        <v>1000000</v>
      </c>
      <c r="N127" s="21">
        <v>1000000</v>
      </c>
      <c r="O127" s="21">
        <v>1000000</v>
      </c>
      <c r="P127" s="64">
        <f t="shared" si="8"/>
        <v>1</v>
      </c>
      <c r="Q127" s="100"/>
      <c r="R127" s="54"/>
      <c r="S127" s="55"/>
      <c r="T127" s="55"/>
    </row>
    <row r="128" spans="1:20" ht="13.5" customHeight="1" x14ac:dyDescent="0.2">
      <c r="A128" s="112">
        <v>41093</v>
      </c>
      <c r="B128" s="112">
        <v>41095</v>
      </c>
      <c r="C128" s="113" t="s">
        <v>88</v>
      </c>
      <c r="D128" s="114">
        <v>41459</v>
      </c>
      <c r="E128" s="115">
        <v>0</v>
      </c>
      <c r="F128" s="116">
        <v>4.4062499999999998E-2</v>
      </c>
      <c r="G128" s="116">
        <v>4.5443299999999999E-2</v>
      </c>
      <c r="H128" s="116">
        <v>4.6249999999999999E-2</v>
      </c>
      <c r="I128" s="116">
        <v>4.4062499999999998E-2</v>
      </c>
      <c r="J128" s="86">
        <v>4.4854900000000003E-2</v>
      </c>
      <c r="K128" s="86">
        <v>4.4999999999999998E-2</v>
      </c>
      <c r="L128" s="118">
        <v>6000000</v>
      </c>
      <c r="M128" s="118">
        <v>792700</v>
      </c>
      <c r="N128" s="118">
        <v>600000</v>
      </c>
      <c r="O128" s="118">
        <v>550000</v>
      </c>
      <c r="P128" s="89">
        <f t="shared" si="8"/>
        <v>1.4412727272727273</v>
      </c>
      <c r="Q128" s="120">
        <v>4.4999999999999998E-2</v>
      </c>
      <c r="R128" s="54"/>
      <c r="S128" s="55">
        <f>O128*J128/$R$10</f>
        <v>25280029.194119763</v>
      </c>
      <c r="T128" s="55"/>
    </row>
    <row r="129" spans="1:20" ht="13.5" customHeight="1" x14ac:dyDescent="0.2">
      <c r="A129" s="92"/>
      <c r="B129" s="91"/>
      <c r="C129" s="83" t="s">
        <v>35</v>
      </c>
      <c r="D129" s="84">
        <v>44696</v>
      </c>
      <c r="E129" s="86">
        <v>7.0000000000000007E-2</v>
      </c>
      <c r="F129" s="86">
        <v>6.0312499999999998E-2</v>
      </c>
      <c r="G129" s="86">
        <v>6.1586299999999997E-2</v>
      </c>
      <c r="H129" s="86">
        <v>6.3750000000000001E-2</v>
      </c>
      <c r="I129" s="86">
        <v>6.0312499999999998E-2</v>
      </c>
      <c r="J129" s="86">
        <v>6.0999699999999997E-2</v>
      </c>
      <c r="K129" s="86">
        <v>6.1249999999999999E-2</v>
      </c>
      <c r="L129" s="88"/>
      <c r="M129" s="88">
        <v>6483000</v>
      </c>
      <c r="N129" s="88">
        <v>3300000</v>
      </c>
      <c r="O129" s="88">
        <v>3300000</v>
      </c>
      <c r="P129" s="89">
        <f t="shared" si="8"/>
        <v>1.9645454545454546</v>
      </c>
      <c r="Q129" s="90">
        <v>6.0999999999999999E-2</v>
      </c>
      <c r="R129" s="54"/>
      <c r="S129" s="55"/>
      <c r="T129" s="55"/>
    </row>
    <row r="130" spans="1:20" ht="13.5" customHeight="1" x14ac:dyDescent="0.2">
      <c r="A130" s="92"/>
      <c r="B130" s="93"/>
      <c r="C130" s="83" t="s">
        <v>43</v>
      </c>
      <c r="D130" s="84">
        <v>46522</v>
      </c>
      <c r="E130" s="86">
        <v>7.0000000000000007E-2</v>
      </c>
      <c r="F130" s="86">
        <v>6.4062499999999994E-2</v>
      </c>
      <c r="G130" s="86">
        <v>6.55921E-2</v>
      </c>
      <c r="H130" s="86">
        <v>6.7187499999999997E-2</v>
      </c>
      <c r="I130" s="86">
        <v>6.4062499999999994E-2</v>
      </c>
      <c r="J130" s="86">
        <v>6.5096000000000001E-2</v>
      </c>
      <c r="K130" s="86">
        <v>6.5312499999999996E-2</v>
      </c>
      <c r="L130" s="88"/>
      <c r="M130" s="88">
        <v>3720000</v>
      </c>
      <c r="N130" s="88">
        <v>1900000</v>
      </c>
      <c r="O130" s="88">
        <v>1900000</v>
      </c>
      <c r="P130" s="89">
        <f t="shared" si="8"/>
        <v>1.9578947368421054</v>
      </c>
      <c r="Q130" s="90">
        <v>6.5100000000000005E-2</v>
      </c>
      <c r="R130" s="54">
        <v>0</v>
      </c>
      <c r="S130" s="55">
        <v>0</v>
      </c>
      <c r="T130" s="55"/>
    </row>
    <row r="131" spans="1:20" ht="13.5" customHeight="1" x14ac:dyDescent="0.2">
      <c r="A131" s="92"/>
      <c r="B131" s="93"/>
      <c r="C131" s="123" t="s">
        <v>32</v>
      </c>
      <c r="D131" s="124">
        <v>48380</v>
      </c>
      <c r="E131" s="126">
        <v>8.2500000000000004E-2</v>
      </c>
      <c r="F131" s="86">
        <v>6.7812499999999998E-2</v>
      </c>
      <c r="G131" s="86">
        <v>6.8797399999999995E-2</v>
      </c>
      <c r="H131" s="86">
        <v>7.0000000000000007E-2</v>
      </c>
      <c r="I131" s="86">
        <v>6.7812499999999998E-2</v>
      </c>
      <c r="J131" s="86">
        <v>6.8197900000000006E-2</v>
      </c>
      <c r="K131" s="86">
        <v>6.8437499999999998E-2</v>
      </c>
      <c r="L131" s="88"/>
      <c r="M131" s="88">
        <v>5491500</v>
      </c>
      <c r="N131" s="88">
        <v>1200000</v>
      </c>
      <c r="O131" s="88">
        <v>1200000</v>
      </c>
      <c r="P131" s="89">
        <f t="shared" si="8"/>
        <v>4.5762499999999999</v>
      </c>
      <c r="Q131" s="90">
        <v>6.8199999999999997E-2</v>
      </c>
      <c r="R131" s="54">
        <v>0</v>
      </c>
      <c r="S131" s="55">
        <v>0</v>
      </c>
      <c r="T131" s="55"/>
    </row>
    <row r="132" spans="1:20" ht="13.5" customHeight="1" x14ac:dyDescent="0.2">
      <c r="A132" s="58">
        <v>41100</v>
      </c>
      <c r="B132" s="59">
        <v>41102</v>
      </c>
      <c r="C132" s="17" t="s">
        <v>91</v>
      </c>
      <c r="D132" s="18"/>
      <c r="E132" s="96"/>
      <c r="F132" s="26">
        <v>0.04</v>
      </c>
      <c r="G132" s="26"/>
      <c r="H132" s="26">
        <v>0.05</v>
      </c>
      <c r="I132" s="26"/>
      <c r="J132" s="26"/>
      <c r="K132" s="27"/>
      <c r="L132" s="21">
        <v>1000000</v>
      </c>
      <c r="M132" s="21">
        <v>181000</v>
      </c>
      <c r="N132" s="21"/>
      <c r="O132" s="21"/>
      <c r="P132" s="64"/>
      <c r="Q132" s="54"/>
      <c r="R132" s="54"/>
      <c r="S132" s="55">
        <f>O132*J132/$R$10</f>
        <v>0</v>
      </c>
      <c r="T132" s="55"/>
    </row>
    <row r="133" spans="1:20" ht="13.5" customHeight="1" x14ac:dyDescent="0.2">
      <c r="A133" s="58"/>
      <c r="B133" s="80"/>
      <c r="C133" s="17" t="s">
        <v>48</v>
      </c>
      <c r="D133" s="18">
        <v>43146</v>
      </c>
      <c r="E133" s="96">
        <v>4.4499999999999998E-2</v>
      </c>
      <c r="F133" s="26">
        <v>5.8749999999999997E-2</v>
      </c>
      <c r="G133" s="26"/>
      <c r="H133" s="26">
        <v>6.7500000000000004E-2</v>
      </c>
      <c r="I133" s="26"/>
      <c r="J133" s="26"/>
      <c r="K133" s="27"/>
      <c r="L133" s="21"/>
      <c r="M133" s="21">
        <v>646000</v>
      </c>
      <c r="N133" s="21"/>
      <c r="O133" s="21"/>
      <c r="P133" s="64"/>
      <c r="Q133" s="54"/>
      <c r="R133" s="54"/>
      <c r="S133" s="55"/>
      <c r="T133" s="55"/>
    </row>
    <row r="134" spans="1:20" ht="13.5" customHeight="1" x14ac:dyDescent="0.2">
      <c r="A134" s="16"/>
      <c r="B134" s="1"/>
      <c r="C134" s="17" t="s">
        <v>49</v>
      </c>
      <c r="D134" s="18">
        <v>44576</v>
      </c>
      <c r="E134" s="96">
        <v>5.45E-2</v>
      </c>
      <c r="F134" s="26">
        <v>6.5000000000000002E-2</v>
      </c>
      <c r="G134" s="26"/>
      <c r="H134" s="26">
        <v>7.0000000000000007E-2</v>
      </c>
      <c r="I134" s="26"/>
      <c r="J134" s="27"/>
      <c r="K134" s="27"/>
      <c r="L134" s="21"/>
      <c r="M134" s="21">
        <v>131000</v>
      </c>
      <c r="N134" s="21"/>
      <c r="O134" s="21"/>
      <c r="P134" s="64"/>
      <c r="Q134" s="54"/>
      <c r="R134" s="54"/>
      <c r="S134" s="55"/>
      <c r="T134" s="55"/>
    </row>
    <row r="135" spans="1:20" ht="13.5" customHeight="1" x14ac:dyDescent="0.2">
      <c r="A135" s="16"/>
      <c r="B135" s="1"/>
      <c r="C135" s="17" t="s">
        <v>50</v>
      </c>
      <c r="D135" s="18">
        <v>46402</v>
      </c>
      <c r="E135" s="26">
        <v>0.06</v>
      </c>
      <c r="F135" s="26">
        <v>6.8750000000000006E-2</v>
      </c>
      <c r="G135" s="26"/>
      <c r="H135" s="26">
        <v>7.4999999999999997E-2</v>
      </c>
      <c r="I135" s="26"/>
      <c r="J135" s="27"/>
      <c r="K135" s="27"/>
      <c r="L135" s="21"/>
      <c r="M135" s="21">
        <v>96000</v>
      </c>
      <c r="N135" s="21"/>
      <c r="O135" s="21"/>
      <c r="P135" s="64"/>
      <c r="Q135" s="54"/>
      <c r="R135" s="54" t="e">
        <f>O135*J135/$O$43</f>
        <v>#DIV/0!</v>
      </c>
      <c r="S135" s="55">
        <f>O135*J135/$R$10</f>
        <v>0</v>
      </c>
      <c r="T135" s="55"/>
    </row>
    <row r="136" spans="1:20" ht="13.5" customHeight="1" x14ac:dyDescent="0.2">
      <c r="A136" s="16"/>
      <c r="B136" s="1"/>
      <c r="C136" s="17" t="s">
        <v>53</v>
      </c>
      <c r="D136" s="18">
        <v>50086</v>
      </c>
      <c r="E136" s="26">
        <v>6.0999999999999999E-2</v>
      </c>
      <c r="F136" s="26">
        <v>6.9687499999999999E-2</v>
      </c>
      <c r="G136" s="26"/>
      <c r="H136" s="26">
        <v>0.08</v>
      </c>
      <c r="I136" s="26"/>
      <c r="J136" s="27"/>
      <c r="K136" s="27"/>
      <c r="L136" s="21"/>
      <c r="M136" s="21">
        <v>163000</v>
      </c>
      <c r="N136" s="21"/>
      <c r="O136" s="21"/>
      <c r="P136" s="64"/>
      <c r="Q136" s="100"/>
      <c r="R136" s="54" t="e">
        <f>O136*J136/$O$43</f>
        <v>#DIV/0!</v>
      </c>
      <c r="S136" s="55">
        <f>O136*J136/$R$10</f>
        <v>0</v>
      </c>
      <c r="T136" s="55"/>
    </row>
    <row r="137" spans="1:20" ht="13.5" customHeight="1" x14ac:dyDescent="0.2">
      <c r="A137" s="112">
        <v>41107</v>
      </c>
      <c r="B137" s="112">
        <v>41109</v>
      </c>
      <c r="C137" s="113" t="s">
        <v>89</v>
      </c>
      <c r="D137" s="114">
        <v>41200</v>
      </c>
      <c r="E137" s="115">
        <v>0</v>
      </c>
      <c r="F137" s="116">
        <v>3.90625E-2</v>
      </c>
      <c r="G137" s="116">
        <v>4.1513099999999997E-2</v>
      </c>
      <c r="H137" s="116">
        <v>4.3749999999999997E-2</v>
      </c>
      <c r="I137" s="116">
        <v>3.90625E-2</v>
      </c>
      <c r="J137" s="117">
        <v>3.9890599999999998E-2</v>
      </c>
      <c r="K137" s="117">
        <v>0.04</v>
      </c>
      <c r="L137" s="118">
        <v>6000000</v>
      </c>
      <c r="M137" s="118">
        <v>4330000</v>
      </c>
      <c r="N137" s="118">
        <v>500000</v>
      </c>
      <c r="O137" s="118">
        <v>500000</v>
      </c>
      <c r="P137" s="89">
        <f t="shared" ref="P137:P148" si="9">M137/O137</f>
        <v>8.66</v>
      </c>
      <c r="Q137" s="120">
        <v>3.9899999999999998E-2</v>
      </c>
      <c r="R137" s="54"/>
      <c r="S137" s="55">
        <f>O137*J137/$R$10</f>
        <v>20438337.284544237</v>
      </c>
      <c r="T137" s="55"/>
    </row>
    <row r="138" spans="1:20" ht="13.5" customHeight="1" x14ac:dyDescent="0.2">
      <c r="A138" s="92"/>
      <c r="B138" s="91"/>
      <c r="C138" s="113" t="s">
        <v>90</v>
      </c>
      <c r="D138" s="114">
        <v>41459</v>
      </c>
      <c r="E138" s="85">
        <v>0</v>
      </c>
      <c r="F138" s="86">
        <v>4.2812500000000003E-2</v>
      </c>
      <c r="G138" s="86">
        <v>4.5234900000000001E-2</v>
      </c>
      <c r="H138" s="86">
        <v>4.7500000000000001E-2</v>
      </c>
      <c r="I138" s="86">
        <v>4.2812500000000003E-2</v>
      </c>
      <c r="J138" s="87">
        <v>4.4053799999999997E-2</v>
      </c>
      <c r="K138" s="87">
        <v>4.4062499999999998E-2</v>
      </c>
      <c r="L138" s="88"/>
      <c r="M138" s="88">
        <v>2654500</v>
      </c>
      <c r="N138" s="88">
        <v>1850000</v>
      </c>
      <c r="O138" s="88">
        <v>1000000</v>
      </c>
      <c r="P138" s="89">
        <f t="shared" si="9"/>
        <v>2.6545000000000001</v>
      </c>
      <c r="Q138" s="90">
        <v>4.4999999999999998E-2</v>
      </c>
      <c r="R138" s="54"/>
      <c r="S138" s="55"/>
      <c r="T138" s="55"/>
    </row>
    <row r="139" spans="1:20" ht="13.5" customHeight="1" x14ac:dyDescent="0.2">
      <c r="A139" s="92"/>
      <c r="B139" s="93"/>
      <c r="C139" s="83" t="s">
        <v>34</v>
      </c>
      <c r="D139" s="84">
        <v>42840</v>
      </c>
      <c r="E139" s="86">
        <v>6.25E-2</v>
      </c>
      <c r="F139" s="86">
        <v>5.3749999999999999E-2</v>
      </c>
      <c r="G139" s="86">
        <v>5.5510999999999998E-2</v>
      </c>
      <c r="H139" s="86">
        <v>0.06</v>
      </c>
      <c r="I139" s="86">
        <v>5.3749999999999999E-2</v>
      </c>
      <c r="J139" s="87">
        <v>5.4689300000000003E-2</v>
      </c>
      <c r="K139" s="87">
        <v>5.5E-2</v>
      </c>
      <c r="L139" s="88"/>
      <c r="M139" s="88">
        <v>2800000</v>
      </c>
      <c r="N139" s="88">
        <v>1250000</v>
      </c>
      <c r="O139" s="88">
        <v>1250000</v>
      </c>
      <c r="P139" s="89">
        <f t="shared" si="9"/>
        <v>2.2400000000000002</v>
      </c>
      <c r="Q139" s="90">
        <v>5.4699999999999999E-2</v>
      </c>
      <c r="R139" s="54">
        <v>0</v>
      </c>
      <c r="S139" s="55">
        <v>0</v>
      </c>
      <c r="T139" s="55"/>
    </row>
    <row r="140" spans="1:20" ht="13.5" customHeight="1" x14ac:dyDescent="0.2">
      <c r="A140" s="92"/>
      <c r="B140" s="93"/>
      <c r="C140" s="83" t="s">
        <v>32</v>
      </c>
      <c r="D140" s="143">
        <v>48380</v>
      </c>
      <c r="E140" s="144">
        <v>8.2500000000000004E-2</v>
      </c>
      <c r="F140" s="86">
        <v>6.5625000000000003E-2</v>
      </c>
      <c r="G140" s="86">
        <v>6.7163299999999995E-2</v>
      </c>
      <c r="H140" s="86">
        <v>6.8750000000000006E-2</v>
      </c>
      <c r="I140" s="86">
        <v>6.5625000000000003E-2</v>
      </c>
      <c r="J140" s="86">
        <v>6.6704799999999995E-2</v>
      </c>
      <c r="K140" s="86">
        <v>6.6875000000000004E-2</v>
      </c>
      <c r="L140" s="88"/>
      <c r="M140" s="88">
        <v>12502200</v>
      </c>
      <c r="N140" s="88">
        <v>6450000</v>
      </c>
      <c r="O140" s="88">
        <v>4500000</v>
      </c>
      <c r="P140" s="89">
        <f t="shared" si="9"/>
        <v>2.7782666666666667</v>
      </c>
      <c r="Q140" s="90">
        <v>6.6799999999999998E-2</v>
      </c>
      <c r="R140" s="54">
        <v>0</v>
      </c>
      <c r="S140" s="55">
        <v>0</v>
      </c>
      <c r="T140" s="55"/>
    </row>
    <row r="141" spans="1:20" ht="13.5" customHeight="1" x14ac:dyDescent="0.2">
      <c r="A141" s="121"/>
      <c r="B141" s="141"/>
      <c r="C141" s="123" t="s">
        <v>47</v>
      </c>
      <c r="D141" s="124">
        <v>51971</v>
      </c>
      <c r="E141" s="126">
        <v>6.3750000000000001E-2</v>
      </c>
      <c r="F141" s="126">
        <v>6.5000000000000002E-2</v>
      </c>
      <c r="G141" s="126">
        <v>6.9052799999999998E-2</v>
      </c>
      <c r="H141" s="126">
        <v>7.2499999999999995E-2</v>
      </c>
      <c r="I141" s="126">
        <v>6.5000000000000002E-2</v>
      </c>
      <c r="J141" s="127">
        <v>6.7993499999999998E-2</v>
      </c>
      <c r="K141" s="127">
        <v>6.8750000000000006E-2</v>
      </c>
      <c r="L141" s="128"/>
      <c r="M141" s="128">
        <v>5403000</v>
      </c>
      <c r="N141" s="128">
        <v>1750000</v>
      </c>
      <c r="O141" s="128">
        <v>1750000</v>
      </c>
      <c r="P141" s="129">
        <f t="shared" si="9"/>
        <v>3.0874285714285716</v>
      </c>
      <c r="Q141" s="130">
        <v>6.8000000000000005E-2</v>
      </c>
      <c r="R141" s="54">
        <v>1.9887751488813776E-3</v>
      </c>
      <c r="S141" s="55">
        <v>29293528.561597757</v>
      </c>
      <c r="T141" s="60"/>
    </row>
    <row r="142" spans="1:20" ht="13.5" customHeight="1" x14ac:dyDescent="0.2">
      <c r="A142" s="58">
        <v>41114</v>
      </c>
      <c r="B142" s="59">
        <v>41116</v>
      </c>
      <c r="C142" s="17" t="s">
        <v>97</v>
      </c>
      <c r="D142" s="18"/>
      <c r="E142" s="96"/>
      <c r="F142" s="26">
        <v>4.1562500000000002E-2</v>
      </c>
      <c r="G142" s="26"/>
      <c r="H142" s="26">
        <v>0.05</v>
      </c>
      <c r="I142" s="26"/>
      <c r="J142" s="26"/>
      <c r="K142" s="27"/>
      <c r="L142" s="21">
        <v>1000000</v>
      </c>
      <c r="M142" s="21">
        <v>341000</v>
      </c>
      <c r="N142" s="21"/>
      <c r="O142" s="21"/>
      <c r="P142" s="64"/>
      <c r="Q142" s="54"/>
      <c r="R142" s="54"/>
      <c r="S142" s="55">
        <f>O142*J142/$R$10</f>
        <v>0</v>
      </c>
      <c r="T142" s="55"/>
    </row>
    <row r="143" spans="1:20" ht="13.5" customHeight="1" x14ac:dyDescent="0.2">
      <c r="A143" s="58"/>
      <c r="B143" s="80"/>
      <c r="C143" s="17" t="s">
        <v>48</v>
      </c>
      <c r="D143" s="18">
        <v>43146</v>
      </c>
      <c r="E143" s="96">
        <v>4.4499999999999998E-2</v>
      </c>
      <c r="F143" s="26">
        <v>5.6250000000000001E-2</v>
      </c>
      <c r="G143" s="26"/>
      <c r="H143" s="26">
        <v>6.2812499999999993E-2</v>
      </c>
      <c r="I143" s="26"/>
      <c r="J143" s="26"/>
      <c r="K143" s="27"/>
      <c r="L143" s="21"/>
      <c r="M143" s="21">
        <v>731000</v>
      </c>
      <c r="N143" s="21"/>
      <c r="O143" s="21"/>
      <c r="P143" s="64"/>
      <c r="Q143" s="54"/>
      <c r="R143" s="54"/>
      <c r="S143" s="55"/>
      <c r="T143" s="55"/>
    </row>
    <row r="144" spans="1:20" ht="13.5" customHeight="1" x14ac:dyDescent="0.2">
      <c r="A144" s="16"/>
      <c r="B144" s="1"/>
      <c r="C144" s="17" t="s">
        <v>49</v>
      </c>
      <c r="D144" s="18">
        <v>44576</v>
      </c>
      <c r="E144" s="96">
        <v>5.45E-2</v>
      </c>
      <c r="F144" s="26">
        <v>6.25E-2</v>
      </c>
      <c r="G144" s="26"/>
      <c r="H144" s="26">
        <v>6.6250000000000003E-2</v>
      </c>
      <c r="I144" s="26"/>
      <c r="J144" s="27"/>
      <c r="K144" s="27"/>
      <c r="L144" s="21"/>
      <c r="M144" s="21">
        <v>291000</v>
      </c>
      <c r="N144" s="21"/>
      <c r="O144" s="21"/>
      <c r="P144" s="64"/>
      <c r="Q144" s="54"/>
      <c r="R144" s="54"/>
      <c r="S144" s="55"/>
      <c r="T144" s="55"/>
    </row>
    <row r="145" spans="1:20" ht="13.5" customHeight="1" x14ac:dyDescent="0.2">
      <c r="A145" s="16"/>
      <c r="B145" s="1"/>
      <c r="C145" s="17" t="s">
        <v>50</v>
      </c>
      <c r="D145" s="18">
        <v>46402</v>
      </c>
      <c r="E145" s="26">
        <v>0.06</v>
      </c>
      <c r="F145" s="26">
        <v>6.6875000000000004E-2</v>
      </c>
      <c r="G145" s="26"/>
      <c r="H145" s="26">
        <v>7.0000000000000007E-2</v>
      </c>
      <c r="I145" s="26"/>
      <c r="J145" s="27"/>
      <c r="K145" s="27"/>
      <c r="L145" s="21"/>
      <c r="M145" s="21">
        <v>106000</v>
      </c>
      <c r="N145" s="21"/>
      <c r="O145" s="21"/>
      <c r="P145" s="64"/>
      <c r="Q145" s="54"/>
      <c r="R145" s="54" t="e">
        <f>O145*J145/$O$43</f>
        <v>#DIV/0!</v>
      </c>
      <c r="S145" s="55">
        <f>O145*J145/$R$10</f>
        <v>0</v>
      </c>
      <c r="T145" s="55"/>
    </row>
    <row r="146" spans="1:20" ht="13.5" customHeight="1" x14ac:dyDescent="0.2">
      <c r="A146" s="16"/>
      <c r="B146" s="1"/>
      <c r="C146" s="17" t="s">
        <v>53</v>
      </c>
      <c r="D146" s="18">
        <v>50086</v>
      </c>
      <c r="E146" s="26">
        <v>6.0999999999999999E-2</v>
      </c>
      <c r="F146" s="26">
        <v>6.6562499999999997E-2</v>
      </c>
      <c r="G146" s="26"/>
      <c r="H146" s="26">
        <v>7.3749999999999996E-2</v>
      </c>
      <c r="I146" s="26"/>
      <c r="J146" s="27"/>
      <c r="K146" s="27"/>
      <c r="L146" s="21"/>
      <c r="M146" s="21">
        <v>530000</v>
      </c>
      <c r="N146" s="21"/>
      <c r="O146" s="21">
        <v>460000</v>
      </c>
      <c r="P146" s="64">
        <f>M146/O146</f>
        <v>1.1521739130434783</v>
      </c>
      <c r="Q146" s="100"/>
      <c r="R146" s="54" t="e">
        <f>O146*J146/$O$43</f>
        <v>#DIV/0!</v>
      </c>
      <c r="S146" s="55">
        <f>O146*J146/$R$10</f>
        <v>0</v>
      </c>
      <c r="T146" s="55"/>
    </row>
    <row r="147" spans="1:20" ht="13.5" customHeight="1" x14ac:dyDescent="0.2">
      <c r="A147" s="112">
        <v>41128</v>
      </c>
      <c r="B147" s="112">
        <v>41130</v>
      </c>
      <c r="C147" s="113" t="s">
        <v>96</v>
      </c>
      <c r="D147" s="114"/>
      <c r="E147" s="86"/>
      <c r="F147" s="116">
        <v>4.6249999999999999E-2</v>
      </c>
      <c r="G147" s="116"/>
      <c r="H147" s="116">
        <v>0.05</v>
      </c>
      <c r="I147" s="116"/>
      <c r="J147" s="86"/>
      <c r="K147" s="86"/>
      <c r="L147" s="118">
        <v>1000000</v>
      </c>
      <c r="M147" s="118">
        <v>336000</v>
      </c>
      <c r="N147" s="118"/>
      <c r="O147" s="118"/>
      <c r="P147" s="89"/>
      <c r="Q147" s="120"/>
      <c r="R147" s="54"/>
      <c r="S147" s="55">
        <f>O147*J147/$R$10</f>
        <v>0</v>
      </c>
      <c r="T147" s="55"/>
    </row>
    <row r="148" spans="1:20" ht="13.5" customHeight="1" x14ac:dyDescent="0.2">
      <c r="A148" s="81"/>
      <c r="B148" s="81"/>
      <c r="C148" s="83" t="s">
        <v>48</v>
      </c>
      <c r="D148" s="84">
        <v>43146</v>
      </c>
      <c r="E148" s="86">
        <v>4.4499999999999998E-2</v>
      </c>
      <c r="F148" s="86">
        <v>5.6562500000000002E-2</v>
      </c>
      <c r="G148" s="86"/>
      <c r="H148" s="86">
        <v>6.25E-2</v>
      </c>
      <c r="I148" s="86">
        <v>5.6562500000000002E-2</v>
      </c>
      <c r="J148" s="86">
        <v>5.6596E-2</v>
      </c>
      <c r="K148" s="86"/>
      <c r="L148" s="88"/>
      <c r="M148" s="88">
        <v>726000</v>
      </c>
      <c r="N148" s="88"/>
      <c r="O148" s="88">
        <v>40000</v>
      </c>
      <c r="P148" s="89">
        <f t="shared" si="9"/>
        <v>18.149999999999999</v>
      </c>
      <c r="Q148" s="90"/>
      <c r="R148" s="54"/>
      <c r="S148" s="55"/>
      <c r="T148" s="55"/>
    </row>
    <row r="149" spans="1:20" ht="13.5" customHeight="1" x14ac:dyDescent="0.2">
      <c r="A149" s="81"/>
      <c r="B149" s="81"/>
      <c r="C149" s="83" t="s">
        <v>49</v>
      </c>
      <c r="D149" s="84">
        <v>44576</v>
      </c>
      <c r="E149" s="86">
        <v>5.45E-2</v>
      </c>
      <c r="F149" s="86">
        <v>6.0937499999999999E-2</v>
      </c>
      <c r="G149" s="86"/>
      <c r="H149" s="86">
        <v>6.5000000000000002E-2</v>
      </c>
      <c r="I149" s="86"/>
      <c r="J149" s="86"/>
      <c r="K149" s="86"/>
      <c r="L149" s="88"/>
      <c r="M149" s="88">
        <v>176000</v>
      </c>
      <c r="N149" s="88"/>
      <c r="O149" s="88"/>
      <c r="P149" s="89"/>
      <c r="Q149" s="90"/>
      <c r="R149" s="54"/>
      <c r="S149" s="55"/>
      <c r="T149" s="55"/>
    </row>
    <row r="150" spans="1:20" ht="13.5" customHeight="1" x14ac:dyDescent="0.2">
      <c r="A150" s="81"/>
      <c r="B150" s="81"/>
      <c r="C150" s="83" t="s">
        <v>50</v>
      </c>
      <c r="D150" s="84">
        <v>46402</v>
      </c>
      <c r="E150" s="86">
        <v>0.06</v>
      </c>
      <c r="F150" s="86">
        <v>6.5937499999999996E-2</v>
      </c>
      <c r="G150" s="86"/>
      <c r="H150" s="86">
        <v>7.0000000000000007E-2</v>
      </c>
      <c r="I150" s="86"/>
      <c r="J150" s="86"/>
      <c r="K150" s="86"/>
      <c r="L150" s="88"/>
      <c r="M150" s="88">
        <v>106000</v>
      </c>
      <c r="N150" s="88"/>
      <c r="O150" s="88"/>
      <c r="P150" s="89"/>
      <c r="Q150" s="90"/>
      <c r="R150" s="54" t="e">
        <f>O150*J150/$O$43</f>
        <v>#DIV/0!</v>
      </c>
      <c r="S150" s="55">
        <f>O150*J150/$R$10</f>
        <v>0</v>
      </c>
      <c r="T150" s="55"/>
    </row>
    <row r="151" spans="1:20" ht="13.5" customHeight="1" x14ac:dyDescent="0.2">
      <c r="A151" s="81"/>
      <c r="B151" s="81"/>
      <c r="C151" s="83" t="s">
        <v>53</v>
      </c>
      <c r="D151" s="84">
        <v>50086</v>
      </c>
      <c r="E151" s="86">
        <v>6.0999999999999999E-2</v>
      </c>
      <c r="F151" s="86">
        <v>6.6562499999999997E-2</v>
      </c>
      <c r="G151" s="86"/>
      <c r="H151" s="86">
        <v>7.3749999999999996E-2</v>
      </c>
      <c r="I151" s="86">
        <v>6.6562499999999997E-2</v>
      </c>
      <c r="J151" s="86">
        <v>6.7161600000000002E-2</v>
      </c>
      <c r="K151" s="86"/>
      <c r="L151" s="88"/>
      <c r="M151" s="88">
        <v>589000</v>
      </c>
      <c r="N151" s="88"/>
      <c r="O151" s="88">
        <v>500000</v>
      </c>
      <c r="P151" s="89">
        <f>M151/O151</f>
        <v>1.1779999999999999</v>
      </c>
      <c r="Q151" s="90"/>
      <c r="R151" s="54" t="e">
        <f>O151*J151/$O$43</f>
        <v>#DIV/0!</v>
      </c>
      <c r="S151" s="55">
        <f>O151*J151/$R$10</f>
        <v>34410899.644769609</v>
      </c>
      <c r="T151" s="55"/>
    </row>
    <row r="152" spans="1:20" ht="13.5" customHeight="1" x14ac:dyDescent="0.2">
      <c r="A152" s="68">
        <v>41130</v>
      </c>
      <c r="B152" s="68">
        <v>41134</v>
      </c>
      <c r="C152" s="69" t="s">
        <v>92</v>
      </c>
      <c r="D152" s="70">
        <v>41225</v>
      </c>
      <c r="E152" s="62"/>
      <c r="F152" s="72">
        <v>3.90625E-2</v>
      </c>
      <c r="G152" s="72">
        <v>4.0763199999999999E-2</v>
      </c>
      <c r="H152" s="72">
        <v>4.2187500000000003E-2</v>
      </c>
      <c r="I152" s="72">
        <v>3.90625E-2</v>
      </c>
      <c r="J152" s="62">
        <v>4.04886E-2</v>
      </c>
      <c r="K152" s="62">
        <v>4.1250000000000002E-2</v>
      </c>
      <c r="L152" s="74">
        <v>6000000</v>
      </c>
      <c r="M152" s="74">
        <v>1169000</v>
      </c>
      <c r="N152" s="74">
        <v>850000</v>
      </c>
      <c r="O152" s="74">
        <v>850000</v>
      </c>
      <c r="P152" s="64">
        <f>M152/O152</f>
        <v>1.3752941176470588</v>
      </c>
      <c r="Q152" s="145">
        <v>4.0500000000000001E-2</v>
      </c>
      <c r="R152" s="100"/>
      <c r="S152" s="55">
        <f>O152*J152/$R$10</f>
        <v>35266038.291334204</v>
      </c>
      <c r="T152" s="55"/>
    </row>
    <row r="153" spans="1:20" ht="13.5" customHeight="1" x14ac:dyDescent="0.2">
      <c r="A153" s="58"/>
      <c r="B153" s="58"/>
      <c r="C153" s="17" t="s">
        <v>93</v>
      </c>
      <c r="D153" s="18">
        <v>41498</v>
      </c>
      <c r="E153" s="62"/>
      <c r="F153" s="62">
        <v>4.3124999999999997E-2</v>
      </c>
      <c r="G153" s="62">
        <v>4.5221900000000002E-2</v>
      </c>
      <c r="H153" s="62">
        <v>4.6875E-2</v>
      </c>
      <c r="I153" s="62">
        <v>4.3124999999999997E-2</v>
      </c>
      <c r="J153" s="62">
        <v>4.4704199999999999E-2</v>
      </c>
      <c r="K153" s="62">
        <v>4.5312499999999999E-2</v>
      </c>
      <c r="L153" s="63"/>
      <c r="M153" s="63">
        <v>531000</v>
      </c>
      <c r="N153" s="63">
        <v>500000</v>
      </c>
      <c r="O153" s="63">
        <v>450000</v>
      </c>
      <c r="P153" s="64">
        <f>M153/O153</f>
        <v>1.18</v>
      </c>
      <c r="Q153" s="100">
        <v>4.4999999999999998E-2</v>
      </c>
      <c r="R153" s="100"/>
      <c r="S153" s="55"/>
      <c r="T153" s="55"/>
    </row>
    <row r="154" spans="1:20" ht="13.5" customHeight="1" x14ac:dyDescent="0.2">
      <c r="A154" s="58"/>
      <c r="B154" s="58"/>
      <c r="C154" s="17" t="s">
        <v>94</v>
      </c>
      <c r="D154" s="18">
        <v>45061</v>
      </c>
      <c r="E154" s="62">
        <v>5.6250000000000001E-2</v>
      </c>
      <c r="F154" s="62">
        <v>5.6250000000000001E-2</v>
      </c>
      <c r="G154" s="62">
        <v>5.8444999999999997E-2</v>
      </c>
      <c r="H154" s="62">
        <v>6.21875E-2</v>
      </c>
      <c r="I154" s="62">
        <v>5.6250000000000001E-2</v>
      </c>
      <c r="J154" s="62">
        <v>5.78474E-2</v>
      </c>
      <c r="K154" s="62">
        <v>5.8125000000000003E-2</v>
      </c>
      <c r="L154" s="63"/>
      <c r="M154" s="63">
        <v>7471300</v>
      </c>
      <c r="N154" s="63">
        <v>4950000</v>
      </c>
      <c r="O154" s="63">
        <v>3100000</v>
      </c>
      <c r="P154" s="64">
        <f>M154/O154</f>
        <v>2.4100967741935482</v>
      </c>
      <c r="Q154" s="100">
        <v>5.8000000000000003E-2</v>
      </c>
      <c r="R154" s="100">
        <v>0</v>
      </c>
      <c r="S154" s="55">
        <v>0</v>
      </c>
      <c r="T154" s="55"/>
    </row>
    <row r="155" spans="1:20" ht="13.5" customHeight="1" x14ac:dyDescent="0.2">
      <c r="A155" s="58"/>
      <c r="B155" s="58"/>
      <c r="C155" s="17" t="s">
        <v>95</v>
      </c>
      <c r="D155" s="18">
        <v>46888</v>
      </c>
      <c r="E155" s="62">
        <v>6.1249999999999999E-2</v>
      </c>
      <c r="F155" s="62">
        <v>6.1249999999999999E-2</v>
      </c>
      <c r="G155" s="62">
        <v>6.3324000000000005E-2</v>
      </c>
      <c r="H155" s="62">
        <v>6.5937499999999996E-2</v>
      </c>
      <c r="I155" s="62">
        <v>6.1249999999999999E-2</v>
      </c>
      <c r="J155" s="62">
        <v>6.2920799999999999E-2</v>
      </c>
      <c r="K155" s="62">
        <v>6.3125000000000001E-2</v>
      </c>
      <c r="L155" s="63"/>
      <c r="M155" s="63">
        <v>7838200</v>
      </c>
      <c r="N155" s="63">
        <v>7838200</v>
      </c>
      <c r="O155" s="63">
        <v>4600000</v>
      </c>
      <c r="P155" s="64">
        <f>M155/O155</f>
        <v>1.7039565217391304</v>
      </c>
      <c r="Q155" s="100">
        <v>6.3500000000000001E-2</v>
      </c>
      <c r="R155" s="100">
        <v>0</v>
      </c>
      <c r="S155" s="55">
        <v>0</v>
      </c>
      <c r="T155" s="55"/>
    </row>
    <row r="156" spans="1:20" ht="13.5" customHeight="1" x14ac:dyDescent="0.2">
      <c r="A156" s="58"/>
      <c r="B156" s="58"/>
      <c r="C156" s="17" t="s">
        <v>47</v>
      </c>
      <c r="D156" s="18">
        <v>51971</v>
      </c>
      <c r="E156" s="62">
        <v>6.3750000000000001E-2</v>
      </c>
      <c r="F156" s="62">
        <v>6.5000000000000002E-2</v>
      </c>
      <c r="G156" s="62">
        <v>6.6420800000000002E-2</v>
      </c>
      <c r="H156" s="62">
        <v>6.8437499999999998E-2</v>
      </c>
      <c r="I156" s="62"/>
      <c r="J156" s="62"/>
      <c r="K156" s="62"/>
      <c r="L156" s="63"/>
      <c r="M156" s="63">
        <v>3007000</v>
      </c>
      <c r="N156" s="63">
        <v>300000</v>
      </c>
      <c r="O156" s="63"/>
      <c r="P156" s="64"/>
      <c r="Q156" s="100">
        <v>6.5299999999999997E-2</v>
      </c>
      <c r="R156" s="100">
        <v>1.9887751488813776E-3</v>
      </c>
      <c r="S156" s="55">
        <v>29293528.561597757</v>
      </c>
      <c r="T156" s="55"/>
    </row>
    <row r="157" spans="1:20" ht="13.5" customHeight="1" x14ac:dyDescent="0.2">
      <c r="A157" s="112">
        <v>41149</v>
      </c>
      <c r="B157" s="112">
        <v>41151</v>
      </c>
      <c r="C157" s="83" t="s">
        <v>93</v>
      </c>
      <c r="D157" s="84">
        <v>41498</v>
      </c>
      <c r="E157" s="86"/>
      <c r="F157" s="116">
        <v>4.3749999999999997E-2</v>
      </c>
      <c r="G157" s="116">
        <v>4.8259900000000001E-2</v>
      </c>
      <c r="H157" s="116">
        <v>0.05</v>
      </c>
      <c r="I157" s="116">
        <v>4.3749999999999997E-2</v>
      </c>
      <c r="J157" s="86">
        <v>4.5231199999999999E-2</v>
      </c>
      <c r="K157" s="86">
        <v>4.6249999999999999E-2</v>
      </c>
      <c r="L157" s="118">
        <v>6000000</v>
      </c>
      <c r="M157" s="118">
        <v>666300</v>
      </c>
      <c r="N157" s="118">
        <v>666300</v>
      </c>
      <c r="O157" s="118">
        <v>540000</v>
      </c>
      <c r="P157" s="89">
        <f t="shared" ref="P157:P166" si="10">M157/O157</f>
        <v>1.2338888888888888</v>
      </c>
      <c r="Q157" s="120">
        <v>4.9000000000000002E-2</v>
      </c>
      <c r="R157" s="54"/>
      <c r="S157" s="55">
        <f>O157*J157/$R$10</f>
        <v>25028617.345827125</v>
      </c>
      <c r="T157" s="55"/>
    </row>
    <row r="158" spans="1:20" ht="13.5" customHeight="1" x14ac:dyDescent="0.2">
      <c r="A158" s="81"/>
      <c r="B158" s="81"/>
      <c r="C158" s="83" t="s">
        <v>34</v>
      </c>
      <c r="D158" s="84">
        <v>42840</v>
      </c>
      <c r="E158" s="86">
        <v>6.25E-2</v>
      </c>
      <c r="F158" s="86">
        <v>5.5625000000000001E-2</v>
      </c>
      <c r="G158" s="86">
        <v>5.6602699999999999E-2</v>
      </c>
      <c r="H158" s="86">
        <v>0.06</v>
      </c>
      <c r="I158" s="86">
        <v>5.5625000000000001E-2</v>
      </c>
      <c r="J158" s="86">
        <v>5.5915199999999998E-2</v>
      </c>
      <c r="K158" s="86">
        <v>5.6250000000000001E-2</v>
      </c>
      <c r="L158" s="88"/>
      <c r="M158" s="88">
        <v>887000</v>
      </c>
      <c r="N158" s="88">
        <v>600000</v>
      </c>
      <c r="O158" s="88">
        <v>350000</v>
      </c>
      <c r="P158" s="89">
        <f t="shared" si="10"/>
        <v>2.5342857142857143</v>
      </c>
      <c r="Q158" s="90">
        <v>4.65E-2</v>
      </c>
      <c r="R158" s="54"/>
      <c r="S158" s="55"/>
      <c r="T158" s="55"/>
    </row>
    <row r="159" spans="1:20" ht="13.5" customHeight="1" x14ac:dyDescent="0.2">
      <c r="A159" s="81"/>
      <c r="B159" s="81"/>
      <c r="C159" s="83" t="s">
        <v>94</v>
      </c>
      <c r="D159" s="84">
        <v>45061</v>
      </c>
      <c r="E159" s="86">
        <v>5.6250000000000001E-2</v>
      </c>
      <c r="F159" s="86">
        <v>6.1562499999999999E-2</v>
      </c>
      <c r="G159" s="86">
        <v>6.2457400000000003E-2</v>
      </c>
      <c r="H159" s="86">
        <v>6.5312499999999996E-2</v>
      </c>
      <c r="I159" s="86"/>
      <c r="J159" s="86"/>
      <c r="K159" s="86"/>
      <c r="L159" s="88"/>
      <c r="M159" s="88">
        <v>1530000</v>
      </c>
      <c r="N159" s="88"/>
      <c r="O159" s="88"/>
      <c r="P159" s="89"/>
      <c r="Q159" s="90">
        <v>6.1499999999999999E-2</v>
      </c>
      <c r="R159" s="54">
        <v>0</v>
      </c>
      <c r="S159" s="55">
        <v>0</v>
      </c>
      <c r="T159" s="55"/>
    </row>
    <row r="160" spans="1:20" ht="13.5" customHeight="1" x14ac:dyDescent="0.2">
      <c r="A160" s="81"/>
      <c r="B160" s="81"/>
      <c r="C160" s="83" t="s">
        <v>98</v>
      </c>
      <c r="D160" s="84">
        <v>48714</v>
      </c>
      <c r="E160" s="86">
        <v>6.6250000000000003E-2</v>
      </c>
      <c r="F160" s="86">
        <v>6.7812499999999998E-2</v>
      </c>
      <c r="G160" s="86">
        <v>6.9155700000000001E-2</v>
      </c>
      <c r="H160" s="86">
        <v>7.2499999999999995E-2</v>
      </c>
      <c r="I160" s="86">
        <v>6.7812499999999998E-2</v>
      </c>
      <c r="J160" s="86">
        <v>6.8855E-2</v>
      </c>
      <c r="K160" s="86">
        <v>6.9062499999999999E-2</v>
      </c>
      <c r="L160" s="88"/>
      <c r="M160" s="88">
        <v>4284500</v>
      </c>
      <c r="N160" s="88">
        <v>3200000</v>
      </c>
      <c r="O160" s="88">
        <v>2950000</v>
      </c>
      <c r="P160" s="89">
        <f t="shared" si="10"/>
        <v>1.4523728813559322</v>
      </c>
      <c r="Q160" s="90">
        <v>6.8900000000000003E-2</v>
      </c>
      <c r="R160" s="54">
        <v>0</v>
      </c>
      <c r="S160" s="55">
        <v>0</v>
      </c>
      <c r="T160" s="55"/>
    </row>
    <row r="161" spans="1:20" ht="13.5" customHeight="1" x14ac:dyDescent="0.2">
      <c r="A161" s="81"/>
      <c r="B161" s="81"/>
      <c r="C161" s="83" t="s">
        <v>47</v>
      </c>
      <c r="D161" s="84">
        <v>51971</v>
      </c>
      <c r="E161" s="86">
        <v>6.3750000000000001E-2</v>
      </c>
      <c r="F161" s="86">
        <v>6.8437499999999998E-2</v>
      </c>
      <c r="G161" s="86">
        <v>6.9570300000000002E-2</v>
      </c>
      <c r="H161" s="86">
        <v>7.1249999999999994E-2</v>
      </c>
      <c r="I161" s="86"/>
      <c r="J161" s="86"/>
      <c r="K161" s="86"/>
      <c r="L161" s="88"/>
      <c r="M161" s="88">
        <v>1149500</v>
      </c>
      <c r="N161" s="88">
        <v>100000</v>
      </c>
      <c r="O161" s="88"/>
      <c r="P161" s="89"/>
      <c r="Q161" s="90">
        <v>6.8500000000000005E-2</v>
      </c>
      <c r="R161" s="54">
        <v>1.9887751488813776E-3</v>
      </c>
      <c r="S161" s="55">
        <v>29293528.561597757</v>
      </c>
      <c r="T161" s="55"/>
    </row>
    <row r="162" spans="1:20" ht="13.5" customHeight="1" x14ac:dyDescent="0.2">
      <c r="A162" s="68">
        <v>41156</v>
      </c>
      <c r="B162" s="68">
        <v>41158</v>
      </c>
      <c r="C162" s="69" t="s">
        <v>102</v>
      </c>
      <c r="D162" s="70"/>
      <c r="E162" s="62"/>
      <c r="F162" s="72">
        <v>4.3749999999999997E-2</v>
      </c>
      <c r="G162" s="72"/>
      <c r="H162" s="72">
        <v>0.05</v>
      </c>
      <c r="I162" s="72"/>
      <c r="J162" s="62"/>
      <c r="K162" s="62"/>
      <c r="L162" s="74">
        <v>1000000</v>
      </c>
      <c r="M162" s="74">
        <v>182000</v>
      </c>
      <c r="N162" s="74"/>
      <c r="O162" s="74"/>
      <c r="P162" s="64"/>
      <c r="Q162" s="145"/>
      <c r="R162" s="100"/>
      <c r="S162" s="55">
        <f>O162*J162/$R$10</f>
        <v>0</v>
      </c>
      <c r="T162" s="55"/>
    </row>
    <row r="163" spans="1:20" ht="13.5" customHeight="1" x14ac:dyDescent="0.2">
      <c r="A163" s="58"/>
      <c r="B163" s="58"/>
      <c r="C163" s="17" t="s">
        <v>48</v>
      </c>
      <c r="D163" s="18">
        <v>43146</v>
      </c>
      <c r="E163" s="62">
        <v>4.4499999999999998E-2</v>
      </c>
      <c r="F163" s="62">
        <v>5.7812500000000003E-2</v>
      </c>
      <c r="G163" s="62"/>
      <c r="H163" s="62">
        <v>6.3125000000000001E-2</v>
      </c>
      <c r="I163" s="62">
        <v>5.7812500000000003E-2</v>
      </c>
      <c r="J163" s="62">
        <v>6.0042600000000002E-2</v>
      </c>
      <c r="K163" s="62"/>
      <c r="L163" s="63"/>
      <c r="M163" s="63">
        <v>870000</v>
      </c>
      <c r="N163" s="63"/>
      <c r="O163" s="63">
        <v>660000</v>
      </c>
      <c r="P163" s="64">
        <f t="shared" si="10"/>
        <v>1.3181818181818181</v>
      </c>
      <c r="Q163" s="100"/>
      <c r="R163" s="100"/>
      <c r="S163" s="55"/>
      <c r="T163" s="55"/>
    </row>
    <row r="164" spans="1:20" ht="13.5" customHeight="1" x14ac:dyDescent="0.2">
      <c r="A164" s="58"/>
      <c r="B164" s="58"/>
      <c r="C164" s="17" t="s">
        <v>49</v>
      </c>
      <c r="D164" s="18">
        <v>44576</v>
      </c>
      <c r="E164" s="62">
        <v>5.45E-2</v>
      </c>
      <c r="F164" s="62">
        <v>6.0937499999999999E-2</v>
      </c>
      <c r="G164" s="62"/>
      <c r="H164" s="62">
        <v>6.5000000000000002E-2</v>
      </c>
      <c r="I164" s="62">
        <v>6.0937499999999999E-2</v>
      </c>
      <c r="J164" s="62">
        <v>6.3195500000000002E-2</v>
      </c>
      <c r="K164" s="62"/>
      <c r="L164" s="63"/>
      <c r="M164" s="63">
        <v>390000</v>
      </c>
      <c r="N164" s="63"/>
      <c r="O164" s="63">
        <v>193000</v>
      </c>
      <c r="P164" s="64">
        <f t="shared" si="10"/>
        <v>2.0207253886010363</v>
      </c>
      <c r="Q164" s="100"/>
      <c r="R164" s="100"/>
      <c r="S164" s="55"/>
      <c r="T164" s="55"/>
    </row>
    <row r="165" spans="1:20" ht="13.5" customHeight="1" x14ac:dyDescent="0.2">
      <c r="A165" s="58"/>
      <c r="B165" s="58"/>
      <c r="C165" s="17" t="s">
        <v>50</v>
      </c>
      <c r="D165" s="18">
        <v>46402</v>
      </c>
      <c r="E165" s="62">
        <v>0.06</v>
      </c>
      <c r="F165" s="62">
        <v>6.6875000000000004E-2</v>
      </c>
      <c r="G165" s="62"/>
      <c r="H165" s="62">
        <v>7.1249999999999994E-2</v>
      </c>
      <c r="I165" s="62"/>
      <c r="J165" s="62"/>
      <c r="K165" s="62"/>
      <c r="L165" s="63"/>
      <c r="M165" s="63">
        <v>139000</v>
      </c>
      <c r="N165" s="63"/>
      <c r="O165" s="63"/>
      <c r="P165" s="64"/>
      <c r="Q165" s="100"/>
      <c r="R165" s="100" t="e">
        <f>O165*J165/$O$43</f>
        <v>#DIV/0!</v>
      </c>
      <c r="S165" s="55">
        <f>O165*J165/$R$10</f>
        <v>0</v>
      </c>
      <c r="T165" s="55"/>
    </row>
    <row r="166" spans="1:20" ht="13.5" customHeight="1" x14ac:dyDescent="0.2">
      <c r="A166" s="58"/>
      <c r="B166" s="58"/>
      <c r="C166" s="17" t="s">
        <v>53</v>
      </c>
      <c r="D166" s="18">
        <v>50086</v>
      </c>
      <c r="E166" s="62">
        <v>6.0999999999999999E-2</v>
      </c>
      <c r="F166" s="62">
        <v>6.7500000000000004E-2</v>
      </c>
      <c r="G166" s="62"/>
      <c r="H166" s="62">
        <v>7.3124999999999996E-2</v>
      </c>
      <c r="I166" s="62">
        <v>6.7500000000000004E-2</v>
      </c>
      <c r="J166" s="62">
        <v>6.7808900000000005E-2</v>
      </c>
      <c r="K166" s="62"/>
      <c r="L166" s="63"/>
      <c r="M166" s="63">
        <v>402000</v>
      </c>
      <c r="N166" s="63"/>
      <c r="O166" s="63">
        <v>250000</v>
      </c>
      <c r="P166" s="64">
        <f t="shared" si="10"/>
        <v>1.6080000000000001</v>
      </c>
      <c r="Q166" s="100"/>
      <c r="R166" s="100" t="e">
        <f>O166*J166/$O$43</f>
        <v>#DIV/0!</v>
      </c>
      <c r="S166" s="55">
        <f>O166*J166/$R$10</f>
        <v>17371275.050938465</v>
      </c>
      <c r="T166" s="55"/>
    </row>
    <row r="167" spans="1:20" ht="13.5" customHeight="1" x14ac:dyDescent="0.2">
      <c r="A167" s="112">
        <v>41163</v>
      </c>
      <c r="B167" s="112">
        <v>41165</v>
      </c>
      <c r="C167" s="113" t="s">
        <v>99</v>
      </c>
      <c r="D167" s="114">
        <v>41255</v>
      </c>
      <c r="E167" s="86"/>
      <c r="F167" s="116">
        <v>0.04</v>
      </c>
      <c r="G167" s="116">
        <v>4.1332500000000001E-2</v>
      </c>
      <c r="H167" s="116">
        <v>4.3749999999999997E-2</v>
      </c>
      <c r="I167" s="116">
        <v>0.04</v>
      </c>
      <c r="J167" s="86">
        <v>4.01819E-2</v>
      </c>
      <c r="K167" s="86">
        <v>4.0625000000000001E-2</v>
      </c>
      <c r="L167" s="118">
        <v>5000000</v>
      </c>
      <c r="M167" s="118">
        <v>4487000</v>
      </c>
      <c r="N167" s="118">
        <v>3650000</v>
      </c>
      <c r="O167" s="118">
        <v>1000000</v>
      </c>
      <c r="P167" s="89">
        <f>M167/O167</f>
        <v>4.4870000000000001</v>
      </c>
      <c r="Q167" s="120">
        <v>4.1000000000000002E-2</v>
      </c>
      <c r="R167" s="54"/>
      <c r="S167" s="55">
        <f>O167*J167/$R$10</f>
        <v>41175175.35127715</v>
      </c>
      <c r="T167" s="55"/>
    </row>
    <row r="168" spans="1:20" ht="13.5" customHeight="1" x14ac:dyDescent="0.2">
      <c r="A168" s="81"/>
      <c r="B168" s="81"/>
      <c r="C168" s="83" t="s">
        <v>100</v>
      </c>
      <c r="D168" s="84">
        <v>41164</v>
      </c>
      <c r="E168" s="86"/>
      <c r="F168" s="86">
        <v>4.5624999999999999E-2</v>
      </c>
      <c r="G168" s="86">
        <v>4.7959000000000002E-2</v>
      </c>
      <c r="H168" s="86">
        <v>5.5E-2</v>
      </c>
      <c r="I168" s="86">
        <v>4.5624999999999999E-2</v>
      </c>
      <c r="J168" s="86">
        <v>4.6062499999999999E-2</v>
      </c>
      <c r="K168" s="86">
        <v>4.6249999999999999E-2</v>
      </c>
      <c r="L168" s="88"/>
      <c r="M168" s="88">
        <v>1785000</v>
      </c>
      <c r="N168" s="88">
        <v>1100000</v>
      </c>
      <c r="O168" s="88">
        <v>1000000</v>
      </c>
      <c r="P168" s="89">
        <f>M168/O168</f>
        <v>1.7849999999999999</v>
      </c>
      <c r="Q168" s="90">
        <v>4.65E-2</v>
      </c>
      <c r="R168" s="54"/>
      <c r="S168" s="55"/>
      <c r="T168" s="55"/>
    </row>
    <row r="169" spans="1:20" ht="13.5" customHeight="1" x14ac:dyDescent="0.2">
      <c r="A169" s="81"/>
      <c r="B169" s="81"/>
      <c r="C169" s="83" t="s">
        <v>94</v>
      </c>
      <c r="D169" s="84">
        <v>45061</v>
      </c>
      <c r="E169" s="86">
        <v>5.6250000000000001E-2</v>
      </c>
      <c r="F169" s="86">
        <v>5.9374999999999997E-2</v>
      </c>
      <c r="G169" s="86">
        <v>6.0299499999999999E-2</v>
      </c>
      <c r="H169" s="86">
        <v>6.21875E-2</v>
      </c>
      <c r="I169" s="86">
        <v>5.9374999999999997E-2</v>
      </c>
      <c r="J169" s="86">
        <v>5.9670000000000001E-2</v>
      </c>
      <c r="K169" s="86">
        <v>5.9687499999999998E-2</v>
      </c>
      <c r="L169" s="88"/>
      <c r="M169" s="88">
        <v>2121500</v>
      </c>
      <c r="N169" s="88">
        <v>450000</v>
      </c>
      <c r="O169" s="88">
        <v>400000</v>
      </c>
      <c r="P169" s="89">
        <f>M169/O169</f>
        <v>5.30375</v>
      </c>
      <c r="Q169" s="90">
        <v>5.9700000000000003E-2</v>
      </c>
      <c r="R169" s="54">
        <v>0</v>
      </c>
      <c r="S169" s="55">
        <v>0</v>
      </c>
      <c r="T169" s="55"/>
    </row>
    <row r="170" spans="1:20" ht="13.5" customHeight="1" x14ac:dyDescent="0.2">
      <c r="A170" s="81"/>
      <c r="B170" s="81"/>
      <c r="C170" s="83" t="s">
        <v>95</v>
      </c>
      <c r="D170" s="84">
        <v>46888</v>
      </c>
      <c r="E170" s="86">
        <v>6.1249999999999999E-2</v>
      </c>
      <c r="F170" s="86">
        <v>6.3125000000000001E-2</v>
      </c>
      <c r="G170" s="86">
        <v>6.4128599999999994E-2</v>
      </c>
      <c r="H170" s="86">
        <v>6.7500000000000004E-2</v>
      </c>
      <c r="I170" s="86">
        <v>6.3125000000000001E-2</v>
      </c>
      <c r="J170" s="86">
        <v>6.3644900000000004E-2</v>
      </c>
      <c r="K170" s="86">
        <v>6.3750000000000001E-2</v>
      </c>
      <c r="L170" s="88"/>
      <c r="M170" s="88">
        <v>1750500</v>
      </c>
      <c r="N170" s="88">
        <v>650000</v>
      </c>
      <c r="O170" s="88">
        <v>600000</v>
      </c>
      <c r="P170" s="89">
        <f>M170/O170</f>
        <v>2.9175</v>
      </c>
      <c r="Q170" s="90">
        <v>6.3700000000000007E-2</v>
      </c>
      <c r="R170" s="54">
        <v>0</v>
      </c>
      <c r="S170" s="55">
        <v>0</v>
      </c>
      <c r="T170" s="55"/>
    </row>
    <row r="171" spans="1:20" ht="13.5" customHeight="1" x14ac:dyDescent="0.2">
      <c r="A171" s="81"/>
      <c r="B171" s="81"/>
      <c r="C171" s="83" t="s">
        <v>98</v>
      </c>
      <c r="D171" s="84">
        <v>48714</v>
      </c>
      <c r="E171" s="86">
        <v>6.6250000000000003E-2</v>
      </c>
      <c r="F171" s="86">
        <v>6.5937499999999996E-2</v>
      </c>
      <c r="G171" s="86">
        <v>6.7079E-2</v>
      </c>
      <c r="H171" s="86">
        <v>6.9375000000000006E-2</v>
      </c>
      <c r="I171" s="86">
        <v>6.5937499999999996E-2</v>
      </c>
      <c r="J171" s="86">
        <v>6.6852700000000001E-2</v>
      </c>
      <c r="K171" s="86">
        <v>6.7187499999999997E-2</v>
      </c>
      <c r="L171" s="88"/>
      <c r="M171" s="88">
        <v>3973000</v>
      </c>
      <c r="N171" s="88">
        <v>3450000</v>
      </c>
      <c r="O171" s="88">
        <v>3200000</v>
      </c>
      <c r="P171" s="89"/>
      <c r="Q171" s="90">
        <v>6.6900000000000001E-2</v>
      </c>
      <c r="R171" s="54">
        <v>1.9887751488813776E-3</v>
      </c>
      <c r="S171" s="55">
        <v>29293528.561597757</v>
      </c>
      <c r="T171" s="55"/>
    </row>
    <row r="172" spans="1:20" ht="13.5" customHeight="1" x14ac:dyDescent="0.2">
      <c r="A172" s="68">
        <v>41170</v>
      </c>
      <c r="B172" s="68">
        <v>41172</v>
      </c>
      <c r="C172" s="69" t="s">
        <v>101</v>
      </c>
      <c r="D172" s="70"/>
      <c r="E172" s="62"/>
      <c r="F172" s="72">
        <v>5.5E-2</v>
      </c>
      <c r="G172" s="72"/>
      <c r="H172" s="72">
        <v>5.7500000000000002E-2</v>
      </c>
      <c r="I172" s="72"/>
      <c r="J172" s="62"/>
      <c r="K172" s="62"/>
      <c r="L172" s="74">
        <v>1000000</v>
      </c>
      <c r="M172" s="74">
        <v>151000</v>
      </c>
      <c r="N172" s="74"/>
      <c r="O172" s="74"/>
      <c r="P172" s="64"/>
      <c r="Q172" s="145"/>
      <c r="R172" s="100"/>
      <c r="S172" s="55">
        <f>O172*J172/$R$10</f>
        <v>0</v>
      </c>
      <c r="T172" s="55"/>
    </row>
    <row r="173" spans="1:20" ht="13.5" customHeight="1" x14ac:dyDescent="0.2">
      <c r="A173" s="58"/>
      <c r="B173" s="58"/>
      <c r="C173" s="17" t="s">
        <v>48</v>
      </c>
      <c r="D173" s="18">
        <v>43146</v>
      </c>
      <c r="E173" s="62">
        <v>4.4499999999999998E-2</v>
      </c>
      <c r="F173" s="62">
        <v>5.9062499999999997E-2</v>
      </c>
      <c r="G173" s="62"/>
      <c r="H173" s="62">
        <v>6.5000000000000002E-2</v>
      </c>
      <c r="I173" s="62"/>
      <c r="J173" s="62"/>
      <c r="K173" s="62"/>
      <c r="L173" s="63"/>
      <c r="M173" s="63">
        <v>741000</v>
      </c>
      <c r="N173" s="63"/>
      <c r="O173" s="63"/>
      <c r="P173" s="64"/>
      <c r="Q173" s="100"/>
      <c r="R173" s="100"/>
      <c r="S173" s="55"/>
      <c r="T173" s="55"/>
    </row>
    <row r="174" spans="1:20" ht="13.5" customHeight="1" x14ac:dyDescent="0.2">
      <c r="A174" s="58"/>
      <c r="B174" s="58"/>
      <c r="C174" s="17" t="s">
        <v>49</v>
      </c>
      <c r="D174" s="18">
        <v>44576</v>
      </c>
      <c r="E174" s="62">
        <v>5.45E-2</v>
      </c>
      <c r="F174" s="62">
        <v>6.25E-2</v>
      </c>
      <c r="G174" s="62"/>
      <c r="H174" s="62">
        <v>6.7500000000000004E-2</v>
      </c>
      <c r="I174" s="62"/>
      <c r="J174" s="62"/>
      <c r="K174" s="62"/>
      <c r="L174" s="63"/>
      <c r="M174" s="63">
        <v>241000</v>
      </c>
      <c r="N174" s="63"/>
      <c r="O174" s="63"/>
      <c r="P174" s="64"/>
      <c r="Q174" s="100"/>
      <c r="R174" s="100"/>
      <c r="S174" s="55"/>
      <c r="T174" s="55"/>
    </row>
    <row r="175" spans="1:20" ht="13.5" customHeight="1" x14ac:dyDescent="0.2">
      <c r="A175" s="58"/>
      <c r="B175" s="58"/>
      <c r="C175" s="17" t="s">
        <v>50</v>
      </c>
      <c r="D175" s="18">
        <v>46402</v>
      </c>
      <c r="E175" s="62">
        <v>0.06</v>
      </c>
      <c r="F175" s="62">
        <v>6.5312499999999996E-2</v>
      </c>
      <c r="G175" s="62"/>
      <c r="H175" s="62">
        <v>7.0000000000000007E-2</v>
      </c>
      <c r="I175" s="62"/>
      <c r="J175" s="62"/>
      <c r="K175" s="62"/>
      <c r="L175" s="63"/>
      <c r="M175" s="63">
        <v>26000</v>
      </c>
      <c r="N175" s="63"/>
      <c r="O175" s="63"/>
      <c r="P175" s="64"/>
      <c r="Q175" s="100"/>
      <c r="R175" s="100" t="e">
        <f>O175*J175/$O$43</f>
        <v>#DIV/0!</v>
      </c>
      <c r="S175" s="55">
        <f>O175*J175/$R$10</f>
        <v>0</v>
      </c>
      <c r="T175" s="55"/>
    </row>
    <row r="176" spans="1:20" ht="13.5" customHeight="1" x14ac:dyDescent="0.2">
      <c r="A176" s="58"/>
      <c r="B176" s="58"/>
      <c r="C176" s="17" t="s">
        <v>53</v>
      </c>
      <c r="D176" s="18">
        <v>50086</v>
      </c>
      <c r="E176" s="62">
        <v>6.0999999999999999E-2</v>
      </c>
      <c r="F176" s="62">
        <v>6.7500000000000004E-2</v>
      </c>
      <c r="G176" s="62"/>
      <c r="H176" s="62">
        <v>7.2499999999999995E-2</v>
      </c>
      <c r="I176" s="62"/>
      <c r="J176" s="62"/>
      <c r="K176" s="62"/>
      <c r="L176" s="63"/>
      <c r="M176" s="63">
        <v>206000</v>
      </c>
      <c r="N176" s="63"/>
      <c r="O176" s="63"/>
      <c r="P176" s="64"/>
      <c r="Q176" s="100"/>
      <c r="R176" s="100" t="e">
        <f>O176*J176/$O$43</f>
        <v>#DIV/0!</v>
      </c>
      <c r="S176" s="55">
        <f>O176*J176/$R$10</f>
        <v>0</v>
      </c>
      <c r="T176" s="55"/>
    </row>
    <row r="177" spans="1:20" ht="13.5" customHeight="1" x14ac:dyDescent="0.2">
      <c r="A177" s="112">
        <v>41177</v>
      </c>
      <c r="B177" s="112">
        <f>A177+2</f>
        <v>41179</v>
      </c>
      <c r="C177" s="113" t="s">
        <v>100</v>
      </c>
      <c r="D177" s="114">
        <v>41529</v>
      </c>
      <c r="E177" s="86"/>
      <c r="F177" s="116">
        <v>4.5937499999999999E-2</v>
      </c>
      <c r="G177" s="116">
        <v>4.7070300000000002E-2</v>
      </c>
      <c r="H177" s="116">
        <v>0.05</v>
      </c>
      <c r="I177" s="116">
        <v>4.5937499999999999E-2</v>
      </c>
      <c r="J177" s="86">
        <v>4.6809400000000001E-2</v>
      </c>
      <c r="K177" s="86">
        <v>4.7500000000000001E-2</v>
      </c>
      <c r="L177" s="118">
        <v>5000000</v>
      </c>
      <c r="M177" s="118">
        <v>1796000</v>
      </c>
      <c r="N177" s="118">
        <v>1150000</v>
      </c>
      <c r="O177" s="118">
        <v>1000000</v>
      </c>
      <c r="P177" s="89">
        <f t="shared" ref="P177:P192" si="11">M177/O177</f>
        <v>1.796</v>
      </c>
      <c r="Q177" s="120">
        <v>4.7E-2</v>
      </c>
      <c r="R177" s="54"/>
      <c r="S177" s="55">
        <f>O177*J177/$R$10</f>
        <v>47966503.651845053</v>
      </c>
      <c r="T177" s="55"/>
    </row>
    <row r="178" spans="1:20" ht="13.5" customHeight="1" x14ac:dyDescent="0.2">
      <c r="A178" s="81"/>
      <c r="B178" s="81"/>
      <c r="C178" s="83" t="s">
        <v>34</v>
      </c>
      <c r="D178" s="84">
        <v>42840</v>
      </c>
      <c r="E178" s="86">
        <v>6.25E-2</v>
      </c>
      <c r="F178" s="86">
        <v>5.2812499999999998E-2</v>
      </c>
      <c r="G178" s="86">
        <v>5.5194300000000002E-2</v>
      </c>
      <c r="H178" s="86">
        <v>5.7500000000000002E-2</v>
      </c>
      <c r="I178" s="86">
        <v>5.2812499999999998E-2</v>
      </c>
      <c r="J178" s="86">
        <v>5.44783E-2</v>
      </c>
      <c r="K178" s="86">
        <v>5.5312500000000001E-2</v>
      </c>
      <c r="L178" s="88"/>
      <c r="M178" s="88">
        <v>1761000</v>
      </c>
      <c r="N178" s="88">
        <v>950000</v>
      </c>
      <c r="O178" s="88">
        <v>950000</v>
      </c>
      <c r="P178" s="89">
        <f t="shared" si="11"/>
        <v>1.8536842105263158</v>
      </c>
      <c r="Q178" s="90">
        <v>5.45E-2</v>
      </c>
      <c r="R178" s="54">
        <v>0</v>
      </c>
      <c r="S178" s="55">
        <v>0</v>
      </c>
      <c r="T178" s="55"/>
    </row>
    <row r="179" spans="1:20" ht="13.5" customHeight="1" x14ac:dyDescent="0.2">
      <c r="A179" s="81"/>
      <c r="B179" s="81"/>
      <c r="C179" s="83" t="s">
        <v>94</v>
      </c>
      <c r="D179" s="84">
        <v>45061</v>
      </c>
      <c r="E179" s="86">
        <v>5.6250000000000001E-2</v>
      </c>
      <c r="F179" s="86">
        <v>5.9062499999999997E-2</v>
      </c>
      <c r="G179" s="86">
        <v>6.0377800000000002E-2</v>
      </c>
      <c r="H179" s="86">
        <v>6.21875E-2</v>
      </c>
      <c r="I179" s="86">
        <v>5.9062499999999997E-2</v>
      </c>
      <c r="J179" s="86">
        <v>5.9893099999999998E-2</v>
      </c>
      <c r="K179" s="86">
        <v>6.0312499999999998E-2</v>
      </c>
      <c r="L179" s="88"/>
      <c r="M179" s="88">
        <v>4200800</v>
      </c>
      <c r="N179" s="88">
        <v>2200000</v>
      </c>
      <c r="O179" s="88">
        <v>2200000</v>
      </c>
      <c r="P179" s="89">
        <f t="shared" si="11"/>
        <v>1.9094545454545455</v>
      </c>
      <c r="Q179" s="90">
        <v>5.9900000000000002E-2</v>
      </c>
      <c r="R179" s="54">
        <v>0</v>
      </c>
      <c r="S179" s="55">
        <v>0</v>
      </c>
      <c r="T179" s="55"/>
    </row>
    <row r="180" spans="1:20" ht="13.5" customHeight="1" x14ac:dyDescent="0.2">
      <c r="A180" s="81"/>
      <c r="B180" s="81"/>
      <c r="C180" s="83" t="s">
        <v>98</v>
      </c>
      <c r="D180" s="84">
        <v>48714</v>
      </c>
      <c r="E180" s="86">
        <v>6.6250000000000003E-2</v>
      </c>
      <c r="F180" s="86">
        <v>6.6875000000000004E-2</v>
      </c>
      <c r="G180" s="86">
        <v>6.7796400000000007E-2</v>
      </c>
      <c r="H180" s="86">
        <v>6.9062499999999999E-2</v>
      </c>
      <c r="I180" s="86">
        <v>6.6875000000000004E-2</v>
      </c>
      <c r="J180" s="86">
        <v>6.7299300000000006E-2</v>
      </c>
      <c r="K180" s="86">
        <v>6.7500000000000004E-2</v>
      </c>
      <c r="L180" s="88"/>
      <c r="M180" s="88">
        <v>4118000</v>
      </c>
      <c r="N180" s="88">
        <v>1150000</v>
      </c>
      <c r="O180" s="88">
        <v>1150000</v>
      </c>
      <c r="P180" s="89">
        <f t="shared" si="11"/>
        <v>3.5808695652173914</v>
      </c>
      <c r="Q180" s="90">
        <v>6.7299999999999999E-2</v>
      </c>
      <c r="R180" s="54">
        <v>1.9887751488813776E-3</v>
      </c>
      <c r="S180" s="55">
        <v>29293528.561597757</v>
      </c>
      <c r="T180" s="55"/>
    </row>
    <row r="181" spans="1:20" ht="13.5" customHeight="1" x14ac:dyDescent="0.2">
      <c r="A181" s="68">
        <v>41184</v>
      </c>
      <c r="B181" s="68">
        <v>41186</v>
      </c>
      <c r="C181" s="69" t="s">
        <v>108</v>
      </c>
      <c r="D181" s="70">
        <v>41367</v>
      </c>
      <c r="E181" s="62"/>
      <c r="F181" s="72">
        <v>4.4999999999999998E-2</v>
      </c>
      <c r="G181" s="72"/>
      <c r="H181" s="72">
        <v>5.7500000000000002E-2</v>
      </c>
      <c r="I181" s="72">
        <v>4.4999999999999998E-2</v>
      </c>
      <c r="J181" s="62">
        <v>4.6944399999999997E-2</v>
      </c>
      <c r="K181" s="62"/>
      <c r="L181" s="74">
        <v>1000000</v>
      </c>
      <c r="M181" s="74">
        <v>265000</v>
      </c>
      <c r="N181" s="74"/>
      <c r="O181" s="74">
        <v>90000</v>
      </c>
      <c r="P181" s="64">
        <f t="shared" si="11"/>
        <v>2.9444444444444446</v>
      </c>
      <c r="Q181" s="145"/>
      <c r="R181" s="100"/>
      <c r="S181" s="55">
        <f>O181*J181/$R$10</f>
        <v>4329435.6702506486</v>
      </c>
      <c r="T181" s="55"/>
    </row>
    <row r="182" spans="1:20" ht="13.5" customHeight="1" x14ac:dyDescent="0.2">
      <c r="A182" s="58"/>
      <c r="B182" s="58"/>
      <c r="C182" s="17" t="s">
        <v>48</v>
      </c>
      <c r="D182" s="18">
        <v>43146</v>
      </c>
      <c r="E182" s="62">
        <v>4.4499999999999998E-2</v>
      </c>
      <c r="F182" s="62">
        <v>5.9687499999999998E-2</v>
      </c>
      <c r="G182" s="62"/>
      <c r="H182" s="62">
        <v>6.5000000000000002E-2</v>
      </c>
      <c r="I182" s="62">
        <v>5.9687499999999998E-2</v>
      </c>
      <c r="J182" s="62">
        <v>6.0198000000000002E-2</v>
      </c>
      <c r="K182" s="62"/>
      <c r="L182" s="63"/>
      <c r="M182" s="63">
        <v>756000</v>
      </c>
      <c r="N182" s="63"/>
      <c r="O182" s="63">
        <v>460000</v>
      </c>
      <c r="P182" s="64">
        <f t="shared" si="11"/>
        <v>1.6434782608695653</v>
      </c>
      <c r="Q182" s="100"/>
      <c r="R182" s="100"/>
      <c r="S182" s="55"/>
      <c r="T182" s="55"/>
    </row>
    <row r="183" spans="1:20" ht="13.5" customHeight="1" x14ac:dyDescent="0.2">
      <c r="A183" s="58"/>
      <c r="B183" s="58"/>
      <c r="C183" s="17" t="s">
        <v>49</v>
      </c>
      <c r="D183" s="18">
        <v>44576</v>
      </c>
      <c r="E183" s="62">
        <v>5.45E-2</v>
      </c>
      <c r="F183" s="62">
        <v>6.25E-2</v>
      </c>
      <c r="G183" s="62"/>
      <c r="H183" s="62">
        <v>6.7500000000000004E-2</v>
      </c>
      <c r="I183" s="62"/>
      <c r="J183" s="62"/>
      <c r="K183" s="62"/>
      <c r="L183" s="63"/>
      <c r="M183" s="63">
        <v>209000</v>
      </c>
      <c r="N183" s="63"/>
      <c r="O183" s="63"/>
      <c r="P183" s="64"/>
      <c r="Q183" s="100"/>
      <c r="R183" s="100"/>
      <c r="S183" s="55"/>
      <c r="T183" s="55"/>
    </row>
    <row r="184" spans="1:20" ht="13.5" customHeight="1" x14ac:dyDescent="0.2">
      <c r="A184" s="58"/>
      <c r="B184" s="58"/>
      <c r="C184" s="17" t="s">
        <v>50</v>
      </c>
      <c r="D184" s="18">
        <v>46402</v>
      </c>
      <c r="E184" s="62">
        <v>0.06</v>
      </c>
      <c r="F184" s="62">
        <v>6.6250000000000003E-2</v>
      </c>
      <c r="G184" s="62"/>
      <c r="H184" s="62">
        <v>7.0000000000000007E-2</v>
      </c>
      <c r="I184" s="62"/>
      <c r="J184" s="62"/>
      <c r="K184" s="62"/>
      <c r="L184" s="63"/>
      <c r="M184" s="63">
        <v>68000</v>
      </c>
      <c r="N184" s="63"/>
      <c r="O184" s="63"/>
      <c r="P184" s="64"/>
      <c r="Q184" s="100"/>
      <c r="R184" s="100" t="e">
        <f>O184*J184/$O$43</f>
        <v>#DIV/0!</v>
      </c>
      <c r="S184" s="55">
        <f>O184*J184/$R$10</f>
        <v>0</v>
      </c>
      <c r="T184" s="55"/>
    </row>
    <row r="185" spans="1:20" ht="13.5" customHeight="1" x14ac:dyDescent="0.2">
      <c r="A185" s="58"/>
      <c r="B185" s="58"/>
      <c r="C185" s="17" t="s">
        <v>53</v>
      </c>
      <c r="D185" s="18">
        <v>50086</v>
      </c>
      <c r="E185" s="62">
        <v>6.0999999999999999E-2</v>
      </c>
      <c r="F185" s="62">
        <v>6.8125000000000005E-2</v>
      </c>
      <c r="G185" s="62"/>
      <c r="H185" s="62">
        <v>7.2499999999999995E-2</v>
      </c>
      <c r="I185" s="62">
        <v>6.8125000000000005E-2</v>
      </c>
      <c r="J185" s="62">
        <v>6.8398899999999999E-2</v>
      </c>
      <c r="K185" s="62"/>
      <c r="L185" s="63"/>
      <c r="M185" s="63">
        <v>102000</v>
      </c>
      <c r="N185" s="63"/>
      <c r="O185" s="63">
        <v>81000</v>
      </c>
      <c r="P185" s="64">
        <f t="shared" si="11"/>
        <v>1.2592592592592593</v>
      </c>
      <c r="Q185" s="100"/>
      <c r="R185" s="100" t="e">
        <f>O185*J185/$O$43</f>
        <v>#DIV/0!</v>
      </c>
      <c r="S185" s="55">
        <f>O185*J185/$R$10</f>
        <v>5677264.4600701332</v>
      </c>
      <c r="T185" s="55"/>
    </row>
    <row r="186" spans="1:20" ht="13.5" customHeight="1" x14ac:dyDescent="0.2">
      <c r="A186" s="112">
        <v>41186</v>
      </c>
      <c r="B186" s="112">
        <v>41190</v>
      </c>
      <c r="C186" s="113" t="s">
        <v>105</v>
      </c>
      <c r="D186" s="114">
        <v>41281</v>
      </c>
      <c r="E186" s="86"/>
      <c r="F186" s="116">
        <v>3.9687500000000001E-2</v>
      </c>
      <c r="G186" s="116">
        <v>4.1053199999999998E-2</v>
      </c>
      <c r="H186" s="116">
        <v>0.05</v>
      </c>
      <c r="I186" s="116">
        <v>3.9687500000000001E-2</v>
      </c>
      <c r="J186" s="86">
        <v>4.0156299999999999E-2</v>
      </c>
      <c r="K186" s="86">
        <v>4.0312500000000001E-2</v>
      </c>
      <c r="L186" s="118">
        <v>5000000</v>
      </c>
      <c r="M186" s="118">
        <v>3711000</v>
      </c>
      <c r="N186" s="118">
        <v>2350000</v>
      </c>
      <c r="O186" s="118">
        <v>1000000</v>
      </c>
      <c r="P186" s="89">
        <f t="shared" si="11"/>
        <v>3.7109999999999999</v>
      </c>
      <c r="Q186" s="120">
        <v>4.0500000000000001E-2</v>
      </c>
      <c r="R186" s="54"/>
      <c r="S186" s="55">
        <f>O186*J186/$R$10</f>
        <v>41148942.532794379</v>
      </c>
      <c r="T186" s="55"/>
    </row>
    <row r="187" spans="1:20" ht="13.5" customHeight="1" x14ac:dyDescent="0.2">
      <c r="A187" s="81"/>
      <c r="B187" s="81"/>
      <c r="C187" s="83" t="s">
        <v>106</v>
      </c>
      <c r="D187" s="84">
        <v>41554</v>
      </c>
      <c r="E187" s="86"/>
      <c r="F187" s="86">
        <v>4.0937500000000002E-2</v>
      </c>
      <c r="G187" s="86">
        <v>4.6291100000000002E-2</v>
      </c>
      <c r="H187" s="86">
        <v>0.05</v>
      </c>
      <c r="I187" s="86">
        <v>4.0937500000000002E-2</v>
      </c>
      <c r="J187" s="86">
        <v>4.4499999999999998E-2</v>
      </c>
      <c r="K187" s="86">
        <v>4.6875E-2</v>
      </c>
      <c r="L187" s="88"/>
      <c r="M187" s="88">
        <v>2450000</v>
      </c>
      <c r="N187" s="88">
        <v>2450000</v>
      </c>
      <c r="O187" s="88">
        <v>1000000</v>
      </c>
      <c r="P187" s="89">
        <f t="shared" si="11"/>
        <v>2.4500000000000002</v>
      </c>
      <c r="Q187" s="90">
        <v>4.6800000000000001E-2</v>
      </c>
      <c r="R187" s="54"/>
      <c r="S187" s="55"/>
      <c r="T187" s="55"/>
    </row>
    <row r="188" spans="1:20" ht="13.5" customHeight="1" x14ac:dyDescent="0.2">
      <c r="A188" s="81"/>
      <c r="B188" s="81"/>
      <c r="C188" s="83" t="s">
        <v>94</v>
      </c>
      <c r="D188" s="84">
        <v>45061</v>
      </c>
      <c r="E188" s="86">
        <v>5.6250000000000001E-2</v>
      </c>
      <c r="F188" s="86">
        <v>5.8437500000000003E-2</v>
      </c>
      <c r="G188" s="86">
        <v>5.9094099999999997E-2</v>
      </c>
      <c r="H188" s="86">
        <v>6.0312499999999998E-2</v>
      </c>
      <c r="I188" s="86">
        <v>5.8437500000000003E-2</v>
      </c>
      <c r="J188" s="86">
        <v>5.8699099999999997E-2</v>
      </c>
      <c r="K188" s="86">
        <v>5.8749999999999997E-2</v>
      </c>
      <c r="L188" s="88"/>
      <c r="M188" s="88">
        <v>3366000</v>
      </c>
      <c r="N188" s="88">
        <v>3366000</v>
      </c>
      <c r="O188" s="88">
        <v>1600000</v>
      </c>
      <c r="P188" s="89">
        <f t="shared" si="11"/>
        <v>2.1037499999999998</v>
      </c>
      <c r="Q188" s="90">
        <v>5.91E-2</v>
      </c>
      <c r="R188" s="54">
        <v>0</v>
      </c>
      <c r="S188" s="55">
        <v>0</v>
      </c>
      <c r="T188" s="55"/>
    </row>
    <row r="189" spans="1:20" ht="13.5" customHeight="1" x14ac:dyDescent="0.2">
      <c r="A189" s="81"/>
      <c r="B189" s="81"/>
      <c r="C189" s="83" t="s">
        <v>95</v>
      </c>
      <c r="D189" s="84">
        <v>46888</v>
      </c>
      <c r="E189" s="86">
        <v>6.1249999999999999E-2</v>
      </c>
      <c r="F189" s="86">
        <v>6.21875E-2</v>
      </c>
      <c r="G189" s="86">
        <v>6.3306899999999999E-2</v>
      </c>
      <c r="H189" s="86">
        <v>6.5312499999999996E-2</v>
      </c>
      <c r="I189" s="86">
        <v>6.21875E-2</v>
      </c>
      <c r="J189" s="86">
        <v>6.2998399999999996E-2</v>
      </c>
      <c r="K189" s="86">
        <v>6.3125000000000001E-2</v>
      </c>
      <c r="L189" s="88"/>
      <c r="M189" s="88">
        <v>2547500</v>
      </c>
      <c r="N189" s="88">
        <v>1500000</v>
      </c>
      <c r="O189" s="88">
        <v>1500000</v>
      </c>
      <c r="P189" s="89">
        <f t="shared" si="11"/>
        <v>1.6983333333333333</v>
      </c>
      <c r="Q189" s="90">
        <v>6.3E-2</v>
      </c>
      <c r="R189" s="54">
        <v>0</v>
      </c>
      <c r="S189" s="55">
        <v>0</v>
      </c>
      <c r="T189" s="55"/>
    </row>
    <row r="190" spans="1:20" ht="13.5" customHeight="1" x14ac:dyDescent="0.2">
      <c r="A190" s="81"/>
      <c r="B190" s="81"/>
      <c r="C190" s="83" t="s">
        <v>98</v>
      </c>
      <c r="D190" s="84">
        <v>48714</v>
      </c>
      <c r="E190" s="86">
        <v>6.6250000000000003E-2</v>
      </c>
      <c r="F190" s="86">
        <v>6.5312499999999996E-2</v>
      </c>
      <c r="G190" s="86">
        <v>6.6240099999999996E-2</v>
      </c>
      <c r="H190" s="86">
        <v>6.8125000000000005E-2</v>
      </c>
      <c r="I190" s="86">
        <v>6.5312499999999996E-2</v>
      </c>
      <c r="J190" s="86">
        <v>6.5821299999999999E-2</v>
      </c>
      <c r="K190" s="86">
        <v>6.5937499999999996E-2</v>
      </c>
      <c r="L190" s="88"/>
      <c r="M190" s="88">
        <v>6752400</v>
      </c>
      <c r="N190" s="88">
        <v>6752400</v>
      </c>
      <c r="O190" s="88">
        <v>2400000</v>
      </c>
      <c r="P190" s="89">
        <f t="shared" si="11"/>
        <v>2.8134999999999999</v>
      </c>
      <c r="Q190" s="90">
        <v>6.6299999999999998E-2</v>
      </c>
      <c r="R190" s="54">
        <v>1.9887751488813776E-3</v>
      </c>
      <c r="S190" s="55">
        <v>29293528.561597757</v>
      </c>
      <c r="T190" s="55"/>
    </row>
    <row r="191" spans="1:20" ht="13.5" customHeight="1" x14ac:dyDescent="0.2">
      <c r="A191" s="68">
        <v>41190</v>
      </c>
      <c r="B191" s="68">
        <f>A191+2</f>
        <v>41192</v>
      </c>
      <c r="C191" s="17" t="s">
        <v>107</v>
      </c>
      <c r="D191" s="18">
        <v>42292</v>
      </c>
      <c r="E191" s="62">
        <v>6.25E-2</v>
      </c>
      <c r="F191" s="72"/>
      <c r="G191" s="72"/>
      <c r="H191" s="72"/>
      <c r="I191" s="72"/>
      <c r="J191" s="62">
        <v>6.25E-2</v>
      </c>
      <c r="K191" s="62"/>
      <c r="L191" s="74">
        <v>12000000</v>
      </c>
      <c r="M191" s="74">
        <v>12765145</v>
      </c>
      <c r="N191" s="74">
        <v>12676745</v>
      </c>
      <c r="O191" s="74">
        <v>12676745</v>
      </c>
      <c r="P191" s="64">
        <f t="shared" si="11"/>
        <v>1.0069733989285103</v>
      </c>
      <c r="Q191" s="145"/>
      <c r="R191" s="100"/>
      <c r="S191" s="55">
        <f>O191*J191/$R$10</f>
        <v>811881715.17901385</v>
      </c>
      <c r="T191" s="55"/>
    </row>
    <row r="192" spans="1:20" ht="13.5" customHeight="1" x14ac:dyDescent="0.2">
      <c r="A192" s="112">
        <v>41198</v>
      </c>
      <c r="B192" s="112">
        <v>41200</v>
      </c>
      <c r="C192" s="113" t="s">
        <v>109</v>
      </c>
      <c r="D192" s="114">
        <v>41381</v>
      </c>
      <c r="E192" s="86"/>
      <c r="F192" s="116">
        <v>4.7500000000000001E-2</v>
      </c>
      <c r="G192" s="116"/>
      <c r="H192" s="116">
        <v>5.5E-2</v>
      </c>
      <c r="I192" s="116">
        <v>4.7500000000000001E-2</v>
      </c>
      <c r="J192" s="86">
        <v>4.7500000000000001E-2</v>
      </c>
      <c r="K192" s="86"/>
      <c r="L192" s="118">
        <v>1000000</v>
      </c>
      <c r="M192" s="118">
        <v>226000</v>
      </c>
      <c r="N192" s="118"/>
      <c r="O192" s="118">
        <v>105000</v>
      </c>
      <c r="P192" s="89">
        <f t="shared" si="11"/>
        <v>2.1523809523809523</v>
      </c>
      <c r="Q192" s="120"/>
      <c r="R192" s="54"/>
      <c r="S192" s="55">
        <f>O192*J192/$R$10</f>
        <v>5110788.3665156402</v>
      </c>
      <c r="T192" s="55"/>
    </row>
    <row r="193" spans="1:20" ht="13.5" customHeight="1" x14ac:dyDescent="0.2">
      <c r="A193" s="81"/>
      <c r="B193" s="81"/>
      <c r="C193" s="83" t="s">
        <v>48</v>
      </c>
      <c r="D193" s="84">
        <v>43146</v>
      </c>
      <c r="E193" s="86">
        <v>4.4499999999999998E-2</v>
      </c>
      <c r="F193" s="86">
        <v>5.9374999999999997E-2</v>
      </c>
      <c r="G193" s="86"/>
      <c r="H193" s="86">
        <v>6.5000000000000002E-2</v>
      </c>
      <c r="I193" s="86"/>
      <c r="J193" s="86"/>
      <c r="K193" s="86"/>
      <c r="L193" s="88"/>
      <c r="M193" s="88">
        <v>1256000</v>
      </c>
      <c r="N193" s="88"/>
      <c r="O193" s="88"/>
      <c r="P193" s="89"/>
      <c r="Q193" s="90"/>
      <c r="R193" s="54"/>
      <c r="S193" s="55"/>
      <c r="T193" s="55"/>
    </row>
    <row r="194" spans="1:20" ht="13.5" customHeight="1" x14ac:dyDescent="0.2">
      <c r="A194" s="81"/>
      <c r="B194" s="81"/>
      <c r="C194" s="83" t="s">
        <v>49</v>
      </c>
      <c r="D194" s="84">
        <v>44576</v>
      </c>
      <c r="E194" s="86">
        <v>5.45E-2</v>
      </c>
      <c r="F194" s="86">
        <v>6.1562499999999999E-2</v>
      </c>
      <c r="G194" s="86"/>
      <c r="H194" s="86">
        <v>7.0000000000000007E-2</v>
      </c>
      <c r="I194" s="86"/>
      <c r="J194" s="86"/>
      <c r="K194" s="86"/>
      <c r="L194" s="88"/>
      <c r="M194" s="88">
        <v>193000</v>
      </c>
      <c r="N194" s="88"/>
      <c r="O194" s="88"/>
      <c r="P194" s="89"/>
      <c r="Q194" s="90"/>
      <c r="R194" s="54"/>
      <c r="S194" s="55"/>
      <c r="T194" s="55"/>
    </row>
    <row r="195" spans="1:20" ht="13.5" customHeight="1" x14ac:dyDescent="0.2">
      <c r="A195" s="81"/>
      <c r="B195" s="81"/>
      <c r="C195" s="83" t="s">
        <v>50</v>
      </c>
      <c r="D195" s="84">
        <v>46402</v>
      </c>
      <c r="E195" s="86">
        <v>0.06</v>
      </c>
      <c r="F195" s="86">
        <v>6.5625000000000003E-2</v>
      </c>
      <c r="G195" s="86"/>
      <c r="H195" s="86">
        <v>7.2499999999999995E-2</v>
      </c>
      <c r="I195" s="86"/>
      <c r="J195" s="86"/>
      <c r="K195" s="86"/>
      <c r="L195" s="88"/>
      <c r="M195" s="88">
        <v>205000</v>
      </c>
      <c r="N195" s="88"/>
      <c r="O195" s="88"/>
      <c r="P195" s="89"/>
      <c r="Q195" s="90"/>
      <c r="R195" s="54" t="e">
        <f>O195*J195/$O$43</f>
        <v>#DIV/0!</v>
      </c>
      <c r="S195" s="55">
        <f>O195*J195/$R$10</f>
        <v>0</v>
      </c>
      <c r="T195" s="55"/>
    </row>
    <row r="196" spans="1:20" ht="13.5" customHeight="1" x14ac:dyDescent="0.2">
      <c r="A196" s="81"/>
      <c r="B196" s="81"/>
      <c r="C196" s="83" t="s">
        <v>53</v>
      </c>
      <c r="D196" s="84">
        <v>50086</v>
      </c>
      <c r="E196" s="86">
        <v>6.0999999999999999E-2</v>
      </c>
      <c r="F196" s="86">
        <v>6.7187499999999997E-2</v>
      </c>
      <c r="G196" s="86"/>
      <c r="H196" s="86">
        <v>7.4999999999999997E-2</v>
      </c>
      <c r="I196" s="86">
        <v>6.7187499999999997E-2</v>
      </c>
      <c r="J196" s="86">
        <v>6.8368899999999996E-2</v>
      </c>
      <c r="K196" s="86"/>
      <c r="L196" s="88"/>
      <c r="M196" s="88">
        <v>261000</v>
      </c>
      <c r="N196" s="88"/>
      <c r="O196" s="88">
        <v>260000</v>
      </c>
      <c r="P196" s="89">
        <f t="shared" ref="P196:P202" si="12">M196/O196</f>
        <v>1.0038461538461538</v>
      </c>
      <c r="Q196" s="90"/>
      <c r="R196" s="54" t="e">
        <f>O196*J196/$O$43</f>
        <v>#DIV/0!</v>
      </c>
      <c r="S196" s="55">
        <f>O196*J196/$R$10</f>
        <v>18215325.208096739</v>
      </c>
      <c r="T196" s="55"/>
    </row>
    <row r="197" spans="1:20" ht="13.5" customHeight="1" x14ac:dyDescent="0.2">
      <c r="A197" s="68">
        <v>41205</v>
      </c>
      <c r="B197" s="68">
        <v>41207</v>
      </c>
      <c r="C197" s="17" t="s">
        <v>106</v>
      </c>
      <c r="D197" s="18">
        <v>41554</v>
      </c>
      <c r="E197" s="62"/>
      <c r="F197" s="62">
        <v>4.4687499999999998E-2</v>
      </c>
      <c r="G197" s="62">
        <v>4.72273E-2</v>
      </c>
      <c r="H197" s="62">
        <v>4.8125000000000001E-2</v>
      </c>
      <c r="I197" s="62">
        <v>4.4687499999999998E-2</v>
      </c>
      <c r="J197" s="62">
        <v>4.5656299999999997E-2</v>
      </c>
      <c r="K197" s="62">
        <v>4.6875E-2</v>
      </c>
      <c r="L197" s="63">
        <v>6000000</v>
      </c>
      <c r="M197" s="63">
        <v>1510000</v>
      </c>
      <c r="N197" s="63">
        <v>200000</v>
      </c>
      <c r="O197" s="63">
        <v>200000</v>
      </c>
      <c r="P197" s="64">
        <f t="shared" si="12"/>
        <v>7.55</v>
      </c>
      <c r="Q197" s="100">
        <v>4.5999999999999999E-2</v>
      </c>
      <c r="R197" s="100"/>
      <c r="S197" s="55"/>
      <c r="T197" s="55"/>
    </row>
    <row r="198" spans="1:20" ht="13.5" customHeight="1" x14ac:dyDescent="0.2">
      <c r="A198" s="58"/>
      <c r="B198" s="58"/>
      <c r="C198" s="17" t="s">
        <v>110</v>
      </c>
      <c r="D198" s="18">
        <v>45061</v>
      </c>
      <c r="E198" s="62">
        <v>5.6250000000000001E-2</v>
      </c>
      <c r="F198" s="62">
        <v>5.1874999999999998E-2</v>
      </c>
      <c r="G198" s="62">
        <v>5.44795E-2</v>
      </c>
      <c r="H198" s="62">
        <v>5.6562500000000002E-2</v>
      </c>
      <c r="I198" s="62">
        <v>5.1874999999999998E-2</v>
      </c>
      <c r="J198" s="62">
        <v>5.3864299999999997E-2</v>
      </c>
      <c r="K198" s="62">
        <v>5.46875E-2</v>
      </c>
      <c r="L198" s="63"/>
      <c r="M198" s="63">
        <v>4306000</v>
      </c>
      <c r="N198" s="63">
        <v>3100000</v>
      </c>
      <c r="O198" s="63">
        <v>2550000</v>
      </c>
      <c r="P198" s="64">
        <f t="shared" si="12"/>
        <v>1.6886274509803922</v>
      </c>
      <c r="Q198" s="100">
        <v>5.4100000000000002E-2</v>
      </c>
      <c r="R198" s="100">
        <v>0</v>
      </c>
      <c r="S198" s="55">
        <v>0</v>
      </c>
      <c r="T198" s="55"/>
    </row>
    <row r="199" spans="1:20" ht="13.5" customHeight="1" x14ac:dyDescent="0.2">
      <c r="A199" s="58"/>
      <c r="B199" s="58"/>
      <c r="C199" s="17" t="s">
        <v>94</v>
      </c>
      <c r="D199" s="18">
        <v>45061</v>
      </c>
      <c r="E199" s="62">
        <v>5.6250000000000001E-2</v>
      </c>
      <c r="F199" s="62">
        <v>5.5625000000000001E-2</v>
      </c>
      <c r="G199" s="62">
        <v>5.7547000000000001E-2</v>
      </c>
      <c r="H199" s="62">
        <v>5.8749999999999997E-2</v>
      </c>
      <c r="I199" s="62">
        <v>5.5625000000000001E-2</v>
      </c>
      <c r="J199" s="62">
        <v>5.7285700000000002E-2</v>
      </c>
      <c r="K199" s="62">
        <v>5.7500000000000002E-2</v>
      </c>
      <c r="L199" s="63"/>
      <c r="M199" s="63">
        <v>4917000</v>
      </c>
      <c r="N199" s="63">
        <v>3300000</v>
      </c>
      <c r="O199" s="63">
        <v>3250000</v>
      </c>
      <c r="P199" s="64">
        <f t="shared" si="12"/>
        <v>1.5129230769230768</v>
      </c>
      <c r="Q199" s="100">
        <v>5.7299999999999997E-2</v>
      </c>
      <c r="R199" s="100">
        <v>0</v>
      </c>
      <c r="S199" s="55">
        <v>0</v>
      </c>
      <c r="T199" s="55"/>
    </row>
    <row r="200" spans="1:20" ht="13.5" customHeight="1" x14ac:dyDescent="0.2">
      <c r="A200" s="58"/>
      <c r="B200" s="58"/>
      <c r="C200" s="17" t="s">
        <v>98</v>
      </c>
      <c r="D200" s="18">
        <v>48714</v>
      </c>
      <c r="E200" s="62">
        <v>6.6250000000000003E-2</v>
      </c>
      <c r="F200" s="62">
        <v>6.4687499999999995E-2</v>
      </c>
      <c r="G200" s="62">
        <v>6.5432900000000002E-2</v>
      </c>
      <c r="H200" s="62">
        <v>6.7500000000000004E-2</v>
      </c>
      <c r="I200" s="62">
        <v>6.4687499999999995E-2</v>
      </c>
      <c r="J200" s="62">
        <v>6.5143599999999996E-2</v>
      </c>
      <c r="K200" s="62">
        <v>6.5312499999999996E-2</v>
      </c>
      <c r="L200" s="63"/>
      <c r="M200" s="63">
        <v>7234000</v>
      </c>
      <c r="N200" s="63">
        <v>7234000</v>
      </c>
      <c r="O200" s="63">
        <v>3000000</v>
      </c>
      <c r="P200" s="64">
        <f t="shared" si="12"/>
        <v>2.4113333333333333</v>
      </c>
      <c r="Q200" s="100">
        <v>6.5500000000000003E-2</v>
      </c>
      <c r="R200" s="100">
        <v>1.9887751488813776E-3</v>
      </c>
      <c r="S200" s="55">
        <v>29293528.561597757</v>
      </c>
      <c r="T200" s="55"/>
    </row>
    <row r="201" spans="1:20" ht="13.5" customHeight="1" x14ac:dyDescent="0.2">
      <c r="A201" s="112">
        <v>41212</v>
      </c>
      <c r="B201" s="112">
        <v>41214</v>
      </c>
      <c r="C201" s="113" t="s">
        <v>111</v>
      </c>
      <c r="D201" s="114">
        <v>41394</v>
      </c>
      <c r="E201" s="86"/>
      <c r="F201" s="116">
        <v>4.7812500000000001E-2</v>
      </c>
      <c r="G201" s="116"/>
      <c r="H201" s="116">
        <v>5.5E-2</v>
      </c>
      <c r="I201" s="116"/>
      <c r="J201" s="86"/>
      <c r="K201" s="86"/>
      <c r="L201" s="118">
        <v>1000000</v>
      </c>
      <c r="M201" s="118">
        <v>921000</v>
      </c>
      <c r="N201" s="118"/>
      <c r="O201" s="118"/>
      <c r="P201" s="89"/>
      <c r="Q201" s="120"/>
      <c r="R201" s="54"/>
      <c r="S201" s="55">
        <f>O201*J201/$R$10</f>
        <v>0</v>
      </c>
      <c r="T201" s="55"/>
    </row>
    <row r="202" spans="1:20" ht="13.5" customHeight="1" x14ac:dyDescent="0.2">
      <c r="A202" s="81"/>
      <c r="B202" s="81"/>
      <c r="C202" s="83" t="s">
        <v>48</v>
      </c>
      <c r="D202" s="84">
        <v>43146</v>
      </c>
      <c r="E202" s="86">
        <v>4.4499999999999998E-2</v>
      </c>
      <c r="F202" s="86">
        <v>5.9687499999999998E-2</v>
      </c>
      <c r="G202" s="86"/>
      <c r="H202" s="86">
        <v>6.25E-2</v>
      </c>
      <c r="I202" s="86"/>
      <c r="J202" s="86">
        <v>6.0100000000000001E-2</v>
      </c>
      <c r="K202" s="86"/>
      <c r="L202" s="88"/>
      <c r="M202" s="88">
        <v>1286000</v>
      </c>
      <c r="N202" s="88"/>
      <c r="O202" s="88">
        <v>640000</v>
      </c>
      <c r="P202" s="89">
        <f t="shared" si="12"/>
        <v>2.0093749999999999</v>
      </c>
      <c r="Q202" s="90"/>
      <c r="R202" s="54"/>
      <c r="S202" s="55"/>
      <c r="T202" s="55"/>
    </row>
    <row r="203" spans="1:20" ht="13.5" customHeight="1" x14ac:dyDescent="0.2">
      <c r="A203" s="81"/>
      <c r="B203" s="81"/>
      <c r="C203" s="83" t="s">
        <v>49</v>
      </c>
      <c r="D203" s="84">
        <v>44576</v>
      </c>
      <c r="E203" s="86">
        <v>5.45E-2</v>
      </c>
      <c r="F203" s="86">
        <v>6.1249999999999999E-2</v>
      </c>
      <c r="G203" s="86"/>
      <c r="H203" s="86">
        <v>6.7500000000000004E-2</v>
      </c>
      <c r="I203" s="86"/>
      <c r="J203" s="86"/>
      <c r="K203" s="86"/>
      <c r="L203" s="88"/>
      <c r="M203" s="88">
        <v>63000</v>
      </c>
      <c r="N203" s="88"/>
      <c r="O203" s="88"/>
      <c r="P203" s="89"/>
      <c r="Q203" s="90"/>
      <c r="R203" s="54"/>
      <c r="S203" s="55"/>
      <c r="T203" s="55"/>
    </row>
    <row r="204" spans="1:20" ht="13.5" customHeight="1" x14ac:dyDescent="0.2">
      <c r="A204" s="81"/>
      <c r="B204" s="81"/>
      <c r="C204" s="83" t="s">
        <v>50</v>
      </c>
      <c r="D204" s="84">
        <v>46402</v>
      </c>
      <c r="E204" s="86">
        <v>0.06</v>
      </c>
      <c r="F204" s="86">
        <v>6.5937499999999996E-2</v>
      </c>
      <c r="G204" s="86"/>
      <c r="H204" s="86">
        <v>7.0000000000000007E-2</v>
      </c>
      <c r="I204" s="86"/>
      <c r="J204" s="86"/>
      <c r="K204" s="86"/>
      <c r="L204" s="88"/>
      <c r="M204" s="88">
        <v>66000</v>
      </c>
      <c r="N204" s="88"/>
      <c r="O204" s="88"/>
      <c r="P204" s="89"/>
      <c r="Q204" s="90"/>
      <c r="R204" s="54" t="e">
        <f>O204*J204/$O$43</f>
        <v>#DIV/0!</v>
      </c>
      <c r="S204" s="55">
        <f>O204*J204/$R$10</f>
        <v>0</v>
      </c>
      <c r="T204" s="55"/>
    </row>
    <row r="205" spans="1:20" ht="13.5" customHeight="1" x14ac:dyDescent="0.2">
      <c r="A205" s="81"/>
      <c r="B205" s="81"/>
      <c r="C205" s="83" t="s">
        <v>53</v>
      </c>
      <c r="D205" s="84">
        <v>50086</v>
      </c>
      <c r="E205" s="86">
        <v>6.0999999999999999E-2</v>
      </c>
      <c r="F205" s="86">
        <v>6.7187499999999997E-2</v>
      </c>
      <c r="G205" s="86"/>
      <c r="H205" s="86">
        <v>7.4999999999999997E-2</v>
      </c>
      <c r="I205" s="86"/>
      <c r="J205" s="86">
        <v>6.8098500000000006E-2</v>
      </c>
      <c r="K205" s="86"/>
      <c r="L205" s="88"/>
      <c r="M205" s="88">
        <v>317000</v>
      </c>
      <c r="N205" s="88"/>
      <c r="O205" s="88">
        <v>273000</v>
      </c>
      <c r="P205" s="89">
        <f t="shared" ref="P205:P210" si="13">M205/O205</f>
        <v>1.1611721611721613</v>
      </c>
      <c r="Q205" s="90"/>
      <c r="R205" s="54" t="e">
        <f>O205*J205/$O$43</f>
        <v>#DIV/0!</v>
      </c>
      <c r="S205" s="55">
        <f>O205*J205/$R$10</f>
        <v>19050447.496855363</v>
      </c>
      <c r="T205" s="55"/>
    </row>
    <row r="206" spans="1:20" ht="13.5" customHeight="1" x14ac:dyDescent="0.2">
      <c r="A206" s="68">
        <v>41225</v>
      </c>
      <c r="B206" s="68">
        <v>41227</v>
      </c>
      <c r="C206" s="69" t="s">
        <v>112</v>
      </c>
      <c r="D206" s="70">
        <v>41318</v>
      </c>
      <c r="E206" s="72"/>
      <c r="F206" s="72">
        <v>3.6874999999999998E-2</v>
      </c>
      <c r="G206" s="72">
        <v>3.9922800000000001E-2</v>
      </c>
      <c r="H206" s="72">
        <v>4.2812500000000003E-2</v>
      </c>
      <c r="I206" s="72">
        <v>3.6874999999999998E-2</v>
      </c>
      <c r="J206" s="72">
        <v>3.7249999999999998E-2</v>
      </c>
      <c r="K206" s="72">
        <v>3.7812499999999999E-2</v>
      </c>
      <c r="L206" s="74">
        <v>5000000</v>
      </c>
      <c r="M206" s="74">
        <v>4050000</v>
      </c>
      <c r="N206" s="74">
        <v>1800000</v>
      </c>
      <c r="O206" s="74">
        <v>1000000</v>
      </c>
      <c r="P206" s="76">
        <f t="shared" si="13"/>
        <v>4.05</v>
      </c>
      <c r="Q206" s="145">
        <v>3.7999999999999999E-2</v>
      </c>
      <c r="R206" s="54"/>
      <c r="S206" s="55">
        <f>O206*J206/$R$10</f>
        <v>38170800.331369944</v>
      </c>
      <c r="T206" s="55"/>
    </row>
    <row r="207" spans="1:20" ht="13.5" customHeight="1" x14ac:dyDescent="0.2">
      <c r="A207" s="58"/>
      <c r="B207" s="58"/>
      <c r="C207" s="69" t="s">
        <v>113</v>
      </c>
      <c r="D207" s="18">
        <v>41591</v>
      </c>
      <c r="E207" s="62"/>
      <c r="F207" s="62">
        <v>4.5312499999999999E-2</v>
      </c>
      <c r="G207" s="62">
        <v>4.6971600000000002E-2</v>
      </c>
      <c r="H207" s="62">
        <v>0.05</v>
      </c>
      <c r="I207" s="62">
        <v>4.5312499999999999E-2</v>
      </c>
      <c r="J207" s="62">
        <v>4.6112500000000001E-2</v>
      </c>
      <c r="K207" s="62">
        <v>4.65625E-2</v>
      </c>
      <c r="L207" s="63"/>
      <c r="M207" s="63">
        <v>2561000</v>
      </c>
      <c r="N207" s="63">
        <v>1400000</v>
      </c>
      <c r="O207" s="63">
        <v>1000000</v>
      </c>
      <c r="P207" s="64">
        <f t="shared" si="13"/>
        <v>2.5609999999999999</v>
      </c>
      <c r="Q207" s="100">
        <v>4.65E-2</v>
      </c>
      <c r="R207" s="54"/>
      <c r="S207" s="55"/>
      <c r="T207" s="55"/>
    </row>
    <row r="208" spans="1:20" ht="13.5" customHeight="1" x14ac:dyDescent="0.2">
      <c r="A208" s="58"/>
      <c r="B208" s="58"/>
      <c r="C208" s="17" t="s">
        <v>110</v>
      </c>
      <c r="D208" s="18">
        <v>43235</v>
      </c>
      <c r="E208" s="62">
        <v>5.2499999999999998E-2</v>
      </c>
      <c r="F208" s="62">
        <v>5.0625000000000003E-2</v>
      </c>
      <c r="G208" s="62">
        <v>5.2170300000000003E-2</v>
      </c>
      <c r="H208" s="62">
        <v>5.4375E-2</v>
      </c>
      <c r="I208" s="62">
        <v>5.0625000000000003E-2</v>
      </c>
      <c r="J208" s="62">
        <v>5.16205E-2</v>
      </c>
      <c r="K208" s="62">
        <v>5.1874999999999998E-2</v>
      </c>
      <c r="L208" s="63"/>
      <c r="M208" s="63">
        <v>5177000</v>
      </c>
      <c r="N208" s="63">
        <v>4600000</v>
      </c>
      <c r="O208" s="63">
        <v>2500000</v>
      </c>
      <c r="P208" s="64">
        <f t="shared" si="13"/>
        <v>2.0708000000000002</v>
      </c>
      <c r="Q208" s="100">
        <v>5.1999999999999998E-2</v>
      </c>
      <c r="R208" s="54">
        <v>0</v>
      </c>
      <c r="S208" s="55">
        <v>0</v>
      </c>
      <c r="T208" s="55"/>
    </row>
    <row r="209" spans="1:20" ht="13.5" customHeight="1" x14ac:dyDescent="0.2">
      <c r="A209" s="58"/>
      <c r="B209" s="58"/>
      <c r="C209" s="17" t="s">
        <v>95</v>
      </c>
      <c r="D209" s="18">
        <v>46888</v>
      </c>
      <c r="E209" s="62">
        <v>6.1249999999999999E-2</v>
      </c>
      <c r="F209" s="62">
        <v>5.9687499999999998E-2</v>
      </c>
      <c r="G209" s="62">
        <v>6.0501899999999997E-2</v>
      </c>
      <c r="H209" s="62">
        <v>6.3750000000000001E-2</v>
      </c>
      <c r="I209" s="62">
        <v>5.9687499999999998E-2</v>
      </c>
      <c r="J209" s="62">
        <v>5.9989399999999998E-2</v>
      </c>
      <c r="K209" s="62">
        <v>0.06</v>
      </c>
      <c r="L209" s="63"/>
      <c r="M209" s="63">
        <v>9340000</v>
      </c>
      <c r="N209" s="63">
        <v>9300000</v>
      </c>
      <c r="O209" s="63">
        <v>1850000</v>
      </c>
      <c r="P209" s="64">
        <f t="shared" si="13"/>
        <v>5.0486486486486486</v>
      </c>
      <c r="Q209" s="100">
        <v>6.0499999999999998E-2</v>
      </c>
      <c r="R209" s="54">
        <v>0</v>
      </c>
      <c r="S209" s="55">
        <v>0</v>
      </c>
      <c r="T209" s="55"/>
    </row>
    <row r="210" spans="1:20" ht="13.5" customHeight="1" x14ac:dyDescent="0.2">
      <c r="A210" s="151"/>
      <c r="B210" s="151"/>
      <c r="C210" s="146" t="s">
        <v>98</v>
      </c>
      <c r="D210" s="147">
        <v>48714</v>
      </c>
      <c r="E210" s="148">
        <v>6.6250000000000003E-2</v>
      </c>
      <c r="F210" s="148">
        <v>6.2812499999999993E-2</v>
      </c>
      <c r="G210" s="148">
        <v>6.3654799999999997E-2</v>
      </c>
      <c r="H210" s="148">
        <v>6.4375000000000002E-2</v>
      </c>
      <c r="I210" s="148">
        <v>6.2812499999999993E-2</v>
      </c>
      <c r="J210" s="148">
        <v>6.3262200000000005E-2</v>
      </c>
      <c r="K210" s="148">
        <v>6.3437499999999994E-2</v>
      </c>
      <c r="L210" s="149"/>
      <c r="M210" s="149">
        <v>7812000</v>
      </c>
      <c r="N210" s="149">
        <v>7150000</v>
      </c>
      <c r="O210" s="149">
        <v>1150000</v>
      </c>
      <c r="P210" s="64">
        <f t="shared" si="13"/>
        <v>6.79304347826087</v>
      </c>
      <c r="Q210" s="150">
        <v>6.3600000000000004E-2</v>
      </c>
      <c r="R210" s="54">
        <v>1.9887751488813776E-3</v>
      </c>
      <c r="S210" s="55">
        <v>29293528.561597757</v>
      </c>
      <c r="T210" s="55"/>
    </row>
    <row r="211" spans="1:20" ht="13.5" customHeight="1" x14ac:dyDescent="0.2">
      <c r="A211" s="112">
        <v>41219</v>
      </c>
      <c r="B211" s="112">
        <v>41235</v>
      </c>
      <c r="C211" s="83" t="s">
        <v>114</v>
      </c>
      <c r="D211" s="84">
        <v>44887</v>
      </c>
      <c r="E211" s="86">
        <v>1.1299999999999999E-2</v>
      </c>
      <c r="F211" s="86"/>
      <c r="G211" s="86"/>
      <c r="H211" s="86"/>
      <c r="I211" s="86"/>
      <c r="J211" s="86"/>
      <c r="K211" s="86"/>
      <c r="L211" s="88">
        <v>7000000</v>
      </c>
      <c r="M211" s="153" t="s">
        <v>115</v>
      </c>
      <c r="N211" s="153" t="s">
        <v>115</v>
      </c>
      <c r="O211" s="153" t="s">
        <v>115</v>
      </c>
      <c r="P211" s="89"/>
      <c r="Q211" s="90">
        <v>4.5999999999999999E-2</v>
      </c>
      <c r="R211" s="54"/>
      <c r="S211" s="55"/>
      <c r="T211" s="55">
        <v>60000</v>
      </c>
    </row>
    <row r="212" spans="1:20" ht="13.5" customHeight="1" x14ac:dyDescent="0.2">
      <c r="A212" s="81"/>
      <c r="B212" s="91"/>
      <c r="C212" s="83"/>
      <c r="D212" s="84"/>
      <c r="E212" s="86"/>
      <c r="F212" s="86"/>
      <c r="G212" s="86"/>
      <c r="H212" s="86"/>
      <c r="I212" s="86"/>
      <c r="J212" s="86"/>
      <c r="K212" s="86"/>
      <c r="L212" s="88"/>
      <c r="M212" s="88">
        <f>$T$211*$T$212</f>
        <v>7012308</v>
      </c>
      <c r="N212" s="88">
        <f>$T$211*$T$212</f>
        <v>7012308</v>
      </c>
      <c r="O212" s="88">
        <f>$T$211*$T$212</f>
        <v>7012308</v>
      </c>
      <c r="P212" s="89"/>
      <c r="Q212" s="90"/>
      <c r="R212" s="54"/>
      <c r="S212" s="55"/>
      <c r="T212" s="55">
        <v>116.87179999999999</v>
      </c>
    </row>
    <row r="213" spans="1:20" ht="13.5" customHeight="1" x14ac:dyDescent="0.2">
      <c r="A213" s="68">
        <v>41227</v>
      </c>
      <c r="B213" s="68">
        <v>41234</v>
      </c>
      <c r="C213" s="17" t="s">
        <v>116</v>
      </c>
      <c r="D213" s="18">
        <v>44886</v>
      </c>
      <c r="E213" s="62">
        <v>3.3000000000000002E-2</v>
      </c>
      <c r="F213" s="62"/>
      <c r="G213" s="62"/>
      <c r="H213" s="62"/>
      <c r="I213" s="62"/>
      <c r="J213" s="62"/>
      <c r="K213" s="62"/>
      <c r="L213" s="63">
        <v>9000000</v>
      </c>
      <c r="M213" s="140" t="s">
        <v>117</v>
      </c>
      <c r="N213" s="140" t="s">
        <v>117</v>
      </c>
      <c r="O213" s="140" t="s">
        <v>117</v>
      </c>
      <c r="P213" s="64"/>
      <c r="Q213" s="100">
        <v>4.5999999999999999E-2</v>
      </c>
      <c r="R213" s="100"/>
      <c r="S213" s="55"/>
      <c r="T213" s="55">
        <v>1000</v>
      </c>
    </row>
    <row r="214" spans="1:20" ht="13.5" customHeight="1" x14ac:dyDescent="0.2">
      <c r="A214" s="58"/>
      <c r="B214" s="80"/>
      <c r="C214" s="17"/>
      <c r="D214" s="18"/>
      <c r="E214" s="62"/>
      <c r="F214" s="62"/>
      <c r="G214" s="62"/>
      <c r="H214" s="62"/>
      <c r="I214" s="62"/>
      <c r="J214" s="62"/>
      <c r="K214" s="62"/>
      <c r="L214" s="63"/>
      <c r="M214" s="63">
        <f>$T$213*$T$214</f>
        <v>9639000</v>
      </c>
      <c r="N214" s="63">
        <f>$T$213*$T$214</f>
        <v>9639000</v>
      </c>
      <c r="O214" s="63">
        <f>$T$213*$T$214</f>
        <v>9639000</v>
      </c>
      <c r="P214" s="64"/>
      <c r="Q214" s="100"/>
      <c r="R214" s="100"/>
      <c r="S214" s="55"/>
      <c r="T214" s="55">
        <v>9639</v>
      </c>
    </row>
    <row r="215" spans="1:20" ht="13.5" customHeight="1" x14ac:dyDescent="0.2">
      <c r="A215" s="112">
        <v>41246</v>
      </c>
      <c r="B215" s="112">
        <v>41248</v>
      </c>
      <c r="C215" s="83" t="s">
        <v>118</v>
      </c>
      <c r="D215" s="84">
        <v>41337</v>
      </c>
      <c r="E215" s="86"/>
      <c r="F215" s="86">
        <v>1.90625E-2</v>
      </c>
      <c r="G215" s="86">
        <v>3.3067300000000001E-2</v>
      </c>
      <c r="H215" s="86">
        <v>0.05</v>
      </c>
      <c r="I215" s="86">
        <v>1.90625E-2</v>
      </c>
      <c r="J215" s="86">
        <v>1.9508899999999999E-2</v>
      </c>
      <c r="K215" s="86">
        <v>0.02</v>
      </c>
      <c r="L215" s="88">
        <v>1000000</v>
      </c>
      <c r="M215" s="153">
        <v>5236000</v>
      </c>
      <c r="N215" s="153">
        <v>5236000</v>
      </c>
      <c r="O215" s="153">
        <v>700000</v>
      </c>
      <c r="P215" s="89">
        <f>M215/O215</f>
        <v>7.48</v>
      </c>
      <c r="Q215" s="90">
        <v>3.5000000000000003E-2</v>
      </c>
      <c r="R215" s="54"/>
      <c r="S215" s="55">
        <f>O215*J215/$R$10</f>
        <v>13993804.794879572</v>
      </c>
      <c r="T215" s="55"/>
    </row>
    <row r="216" spans="1:20" ht="13.5" customHeight="1" x14ac:dyDescent="0.2">
      <c r="A216" s="81"/>
      <c r="B216" s="91"/>
      <c r="C216" s="83" t="s">
        <v>119</v>
      </c>
      <c r="D216" s="84">
        <v>41612</v>
      </c>
      <c r="E216" s="86"/>
      <c r="F216" s="86">
        <v>4.2187500000000003E-2</v>
      </c>
      <c r="G216" s="86">
        <v>4.54952E-2</v>
      </c>
      <c r="H216" s="86">
        <v>7.0000000000000007E-2</v>
      </c>
      <c r="I216" s="86">
        <v>4.2187500000000003E-2</v>
      </c>
      <c r="J216" s="86">
        <v>4.2187500000000003E-2</v>
      </c>
      <c r="K216" s="86">
        <v>4.2187500000000003E-2</v>
      </c>
      <c r="L216" s="88"/>
      <c r="M216" s="88">
        <v>3917000</v>
      </c>
      <c r="N216" s="88">
        <v>1300000</v>
      </c>
      <c r="O216" s="88">
        <v>500000</v>
      </c>
      <c r="P216" s="89">
        <f>M216/O216</f>
        <v>7.8339999999999996</v>
      </c>
      <c r="Q216" s="90">
        <v>4.41E-2</v>
      </c>
      <c r="R216" s="54"/>
      <c r="S216" s="55"/>
      <c r="T216" s="55"/>
    </row>
    <row r="217" spans="1:20" ht="13.5" customHeight="1" x14ac:dyDescent="0.2">
      <c r="A217" s="29" t="s">
        <v>17</v>
      </c>
      <c r="B217" s="30"/>
      <c r="C217" s="31"/>
      <c r="D217" s="32" t="s">
        <v>18</v>
      </c>
      <c r="E217" s="33"/>
      <c r="F217" s="33"/>
      <c r="G217" s="33"/>
      <c r="H217" s="33"/>
      <c r="I217" s="33"/>
      <c r="J217" s="34"/>
      <c r="K217" s="34"/>
      <c r="L217" s="35">
        <f>SUM(L6:L216)</f>
        <v>241130000</v>
      </c>
      <c r="M217" s="35">
        <f>SUM(M6:M216)</f>
        <v>650421058</v>
      </c>
      <c r="N217" s="35">
        <f>SUM(N6:N216)</f>
        <v>342523758</v>
      </c>
      <c r="O217" s="35">
        <f>SUM(O6:O216)</f>
        <v>268547858</v>
      </c>
      <c r="P217" s="36">
        <f>M217/O217</f>
        <v>2.4219930959196105</v>
      </c>
      <c r="Q217" s="37"/>
      <c r="R217" s="79">
        <f>SUM(R6:R12)</f>
        <v>1.6493557546826533E-3</v>
      </c>
    </row>
    <row r="218" spans="1:20" x14ac:dyDescent="0.2">
      <c r="M218" s="38">
        <f>M217</f>
        <v>650421058</v>
      </c>
      <c r="N218" s="38">
        <f>N217</f>
        <v>342523758</v>
      </c>
      <c r="O218" s="38">
        <f>O217</f>
        <v>268547858</v>
      </c>
      <c r="R218" s="56"/>
    </row>
    <row r="219" spans="1:20" x14ac:dyDescent="0.2">
      <c r="A219" s="1" t="s">
        <v>31</v>
      </c>
      <c r="R219" s="38"/>
    </row>
    <row r="220" spans="1:20" x14ac:dyDescent="0.2">
      <c r="A220" s="1"/>
      <c r="M220" s="38"/>
      <c r="N220" s="38"/>
      <c r="O220" s="38"/>
      <c r="Q220" s="35"/>
    </row>
    <row r="221" spans="1:20" ht="27" customHeight="1" x14ac:dyDescent="0.2">
      <c r="A221" s="57"/>
      <c r="E221" s="38"/>
      <c r="F221" s="38"/>
      <c r="G221" s="38"/>
      <c r="H221" s="38"/>
      <c r="I221" s="38"/>
      <c r="L221" s="39" t="s">
        <v>19</v>
      </c>
      <c r="M221" s="39" t="s">
        <v>12</v>
      </c>
      <c r="N221" s="39" t="s">
        <v>13</v>
      </c>
      <c r="O221" s="39" t="s">
        <v>14</v>
      </c>
      <c r="Q221" s="35"/>
    </row>
    <row r="222" spans="1:20" x14ac:dyDescent="0.2">
      <c r="E222" s="38"/>
      <c r="F222" s="38"/>
      <c r="G222" s="38"/>
      <c r="H222" s="38"/>
      <c r="I222" s="38"/>
      <c r="L222" s="45" t="s">
        <v>20</v>
      </c>
      <c r="M222" s="40">
        <f>SUM(M8:M10,M15:M17,M24:M26,M34:M36,M43:M45,M54:M56,M65:M67,M75:M77,M89:M91,M100:M102,M109:M111,M119:M121,M129:M131,M139:M141,M154:M156,M158:M161,M169:M171,M178:M180,M188:M190,M198:M200,M208:M210)</f>
        <v>298268400</v>
      </c>
      <c r="N222" s="40">
        <f>SUM(N8:N10,N15:N17,N24:N26,N34:N36,N43:N45,N54:N56,N65:N67,N75:N77,N89:N91,N100:N102,N109:N111,N119:N121,N129:N131,N139:N141,N154:N156,N158:N161,N169:N171,N178:N180,N188:N190,N198:N200,N208:N210)</f>
        <v>170290600</v>
      </c>
      <c r="O222" s="40">
        <f>SUM(O8:O10,O15:O17,O24:O26,O34:O36,O43:O45,O54:O56,O65:O67,O75:O77,O89:O91,O100:O102,O109:O111,O119:O121,O129:O131,O139:O141,O154:O156,O158:O161,O169:O171,O178:O180,O188:O190,O198:O200,O208:O210)</f>
        <v>122245000</v>
      </c>
      <c r="P222" s="41"/>
      <c r="Q222" s="94"/>
    </row>
    <row r="223" spans="1:20" x14ac:dyDescent="0.2">
      <c r="B223" s="38"/>
      <c r="C223" s="2" t="s">
        <v>18</v>
      </c>
      <c r="E223" s="38"/>
      <c r="F223" s="38"/>
      <c r="G223" s="38"/>
      <c r="H223" s="38"/>
      <c r="I223" s="38"/>
      <c r="L223" s="46" t="s">
        <v>21</v>
      </c>
      <c r="M223" s="47"/>
      <c r="N223" s="47"/>
      <c r="O223" s="47"/>
      <c r="S223" s="38"/>
    </row>
    <row r="224" spans="1:20" x14ac:dyDescent="0.2">
      <c r="B224" s="38"/>
      <c r="E224" s="38"/>
      <c r="F224" s="38"/>
      <c r="G224" s="38"/>
      <c r="H224" s="38"/>
      <c r="I224" s="38"/>
      <c r="L224" s="45" t="s">
        <v>22</v>
      </c>
      <c r="M224" s="40">
        <f>M191</f>
        <v>12765145</v>
      </c>
      <c r="N224" s="40">
        <f>N191</f>
        <v>12676745</v>
      </c>
      <c r="O224" s="40">
        <f>O191</f>
        <v>12676745</v>
      </c>
    </row>
    <row r="225" spans="1:20" x14ac:dyDescent="0.2">
      <c r="B225" s="38"/>
      <c r="E225" s="38"/>
      <c r="F225" s="38"/>
      <c r="G225" s="38"/>
      <c r="H225" s="38"/>
      <c r="I225" s="38"/>
      <c r="L225" s="46" t="s">
        <v>23</v>
      </c>
      <c r="M225" s="47">
        <f>SUM(M6:M7,M13:M14,M22:M23,M32:M33,M41:M42,M52:M53,M64,M73:M74,M88,M98:M99,M108,M117:M118,M128,M137:M138,M152:M153,M157,M167:M168,M177,M186:M187,M197,M206:M207,M215:M216)</f>
        <v>132318900</v>
      </c>
      <c r="N225" s="47">
        <f>SUM(N6:N7,N13:N14,N22:N23,N32:N33,N41:N42,N52:N53,N64,N73:N74,N88,N98:N99,N108,N117:N118,N128,N137:N138,N152:N153,N157,N167:N168,N177,N186:N187,N197,N206:N207,N215:N216)</f>
        <v>65992300</v>
      </c>
      <c r="O225" s="47">
        <f>SUM(O6:O7,O13:O14,O22:O23,O32:O33,O41:O42,O52:O53,O64,O73:O74,O88,O98:O99,O108,O117:O118,O128,O137:O138,O152:O153,O157,O167:O168,O177,O186:O187,O197,O206:O207,O215:O216)</f>
        <v>30520000</v>
      </c>
    </row>
    <row r="226" spans="1:20" x14ac:dyDescent="0.2">
      <c r="B226" s="38"/>
      <c r="E226" s="38"/>
      <c r="F226" s="38"/>
      <c r="G226" s="38"/>
      <c r="H226" s="38"/>
      <c r="I226" s="38"/>
      <c r="L226" s="45" t="s">
        <v>24</v>
      </c>
      <c r="M226" s="40">
        <f>M12+M79+M81</f>
        <v>105577000</v>
      </c>
      <c r="N226" s="40">
        <f>N12+N79+N81</f>
        <v>39005000</v>
      </c>
      <c r="O226" s="40">
        <f>O12+O79+O81</f>
        <v>39005000</v>
      </c>
    </row>
    <row r="227" spans="1:20" ht="20.25" x14ac:dyDescent="0.3">
      <c r="B227" s="38"/>
      <c r="E227" s="38"/>
      <c r="F227" s="38"/>
      <c r="G227" s="38"/>
      <c r="H227" s="38"/>
      <c r="I227" s="38"/>
      <c r="L227" s="46" t="s">
        <v>25</v>
      </c>
      <c r="M227" s="47">
        <f>M212</f>
        <v>7012308</v>
      </c>
      <c r="N227" s="47">
        <f>N212</f>
        <v>7012308</v>
      </c>
      <c r="O227" s="47">
        <f>O212</f>
        <v>7012308</v>
      </c>
      <c r="P227" s="142"/>
    </row>
    <row r="228" spans="1:20" x14ac:dyDescent="0.2">
      <c r="E228" s="38"/>
      <c r="F228" s="38"/>
      <c r="G228" s="38"/>
      <c r="H228" s="38"/>
      <c r="I228" s="38"/>
      <c r="L228" s="45" t="s">
        <v>26</v>
      </c>
      <c r="M228" s="40">
        <f>M214</f>
        <v>9639000</v>
      </c>
      <c r="N228" s="40">
        <f>N214</f>
        <v>9639000</v>
      </c>
      <c r="O228" s="40">
        <f>O214</f>
        <v>9639000</v>
      </c>
      <c r="T228" s="2" t="s">
        <v>18</v>
      </c>
    </row>
    <row r="229" spans="1:20" x14ac:dyDescent="0.2">
      <c r="A229" s="38"/>
      <c r="L229" s="46" t="s">
        <v>30</v>
      </c>
      <c r="M229" s="47">
        <f>M51</f>
        <v>13613805</v>
      </c>
      <c r="N229" s="47">
        <f>N51</f>
        <v>13613805</v>
      </c>
      <c r="O229" s="47">
        <f>O51</f>
        <v>13613805</v>
      </c>
    </row>
    <row r="230" spans="1:20" x14ac:dyDescent="0.2">
      <c r="L230" s="45" t="s">
        <v>29</v>
      </c>
      <c r="M230" s="40">
        <f>SUM(M21)</f>
        <v>1676000</v>
      </c>
      <c r="N230" s="40">
        <f>SUM(N21)</f>
        <v>400000</v>
      </c>
      <c r="O230" s="40">
        <f>SUM(O21)</f>
        <v>400000</v>
      </c>
    </row>
    <row r="231" spans="1:20" x14ac:dyDescent="0.2">
      <c r="L231" s="45" t="s">
        <v>36</v>
      </c>
      <c r="M231" s="40">
        <f>SUM(M18:M20,M28:M31,M37:M40,M47:M50,M60:M63,M69:M72,M82:M85,M93:M96,M103:M106,M113:M116,M122:M125,M133:M136,M143:M146,M148:M151,M163:M166,M173:M176,M182:M185,M193:M196,M202:M205)</f>
        <v>41396500</v>
      </c>
      <c r="N231" s="40">
        <f>SUM(N18:N20,N28:N31,N37:N40,N47:N50,N60:N63,N69:N72,N82:N85,N93:N96,N103:N106,N113:N116,N122:N125,N133:N136,N143:N146,N148:N151,N163:N166,N173:N176,N182:N185,N193:N196,N202:N205)</f>
        <v>7367000</v>
      </c>
      <c r="O231" s="40">
        <f>SUM(O18:O20,O28:O31,O37:O40,O47:O50,O60:O63,O69:O72,O82:O85,O93:O96,O103:O106,O113:O116,O122:O125,O133:O136,O143:O146,O148:O151,O163:O166,O173:O176,O182:O185,O193:O196,O202:O205)</f>
        <v>16714000</v>
      </c>
    </row>
    <row r="232" spans="1:20" x14ac:dyDescent="0.2">
      <c r="L232" s="45" t="s">
        <v>33</v>
      </c>
      <c r="M232" s="40">
        <f>SUM(M27,M46,M68,M92,M97,M112,M132,M142,M147,M162,M172,M181,M192,M201)</f>
        <v>12812000</v>
      </c>
      <c r="N232" s="40">
        <f>SUM(N27,N46,N68,N92,N97,N112,N132,N142,N147,N162,N172,N181,N192,N201)</f>
        <v>1185000</v>
      </c>
      <c r="O232" s="40">
        <f>SUM(O27,O46,O68,O92,O97,O112,O132,O142,O147,O162,O172,O181,O192,O201)</f>
        <v>1380000</v>
      </c>
    </row>
    <row r="233" spans="1:20" x14ac:dyDescent="0.2">
      <c r="L233" s="49" t="s">
        <v>17</v>
      </c>
      <c r="M233" s="50">
        <f>SUM(M222:M232)</f>
        <v>635079058</v>
      </c>
      <c r="N233" s="50">
        <f>SUM(N222:N232)</f>
        <v>327181758</v>
      </c>
      <c r="O233" s="50">
        <f>SUM(O222:O232)</f>
        <v>253205858</v>
      </c>
    </row>
    <row r="234" spans="1:20" x14ac:dyDescent="0.2">
      <c r="L234" s="46" t="s">
        <v>27</v>
      </c>
      <c r="M234" s="47">
        <f>SUM(M57:M59,M86:M87,M107,M126:M127)</f>
        <v>15342000</v>
      </c>
      <c r="N234" s="47">
        <f>SUM(N57:N59,N86:N87,N107,N126:N127)</f>
        <v>15342000</v>
      </c>
      <c r="O234" s="47">
        <f>SUM(O57:O59,O86:O87,O107,O126:O127)</f>
        <v>15342000</v>
      </c>
    </row>
    <row r="235" spans="1:20" x14ac:dyDescent="0.2">
      <c r="L235" s="42" t="s">
        <v>28</v>
      </c>
      <c r="M235" s="43">
        <f>M233+M234</f>
        <v>650421058</v>
      </c>
      <c r="N235" s="43">
        <f>N233+N234</f>
        <v>342523758</v>
      </c>
      <c r="O235" s="43">
        <f>O233+O234</f>
        <v>268547858</v>
      </c>
    </row>
    <row r="236" spans="1:20" x14ac:dyDescent="0.2">
      <c r="M236" s="1" t="b">
        <f>IF(M217=M235,TRUE,FALSE)</f>
        <v>1</v>
      </c>
      <c r="N236" s="1" t="b">
        <f>IF(N217=N235,TRUE,FALSE)</f>
        <v>1</v>
      </c>
      <c r="O236" s="1" t="b">
        <f>IF(O217=O235,TRUE,FALSE)</f>
        <v>1</v>
      </c>
    </row>
    <row r="238" spans="1:20" x14ac:dyDescent="0.2">
      <c r="M238" s="38"/>
      <c r="N238" s="38"/>
      <c r="O238" s="38"/>
    </row>
    <row r="239" spans="1:20" x14ac:dyDescent="0.2">
      <c r="O239" s="38"/>
    </row>
    <row r="240" spans="1:20" x14ac:dyDescent="0.2">
      <c r="O240" s="78"/>
    </row>
    <row r="241" spans="12:16" x14ac:dyDescent="0.2">
      <c r="M241" s="38"/>
      <c r="N241" s="38"/>
      <c r="O241" s="78"/>
    </row>
    <row r="242" spans="12:16" x14ac:dyDescent="0.2">
      <c r="O242" s="78"/>
    </row>
    <row r="247" spans="12:16" x14ac:dyDescent="0.2">
      <c r="N247" s="105" t="s">
        <v>76</v>
      </c>
      <c r="O247" s="105"/>
      <c r="P247" s="106">
        <v>270419408</v>
      </c>
    </row>
    <row r="248" spans="12:16" x14ac:dyDescent="0.2">
      <c r="N248" s="105" t="s">
        <v>77</v>
      </c>
      <c r="O248" s="105"/>
      <c r="P248" s="47">
        <f>P247-O217</f>
        <v>1871550</v>
      </c>
    </row>
    <row r="249" spans="12:16" x14ac:dyDescent="0.2">
      <c r="L249" s="2">
        <f>223+48</f>
        <v>271</v>
      </c>
      <c r="N249" s="105" t="s">
        <v>72</v>
      </c>
      <c r="O249" s="105"/>
      <c r="P249" s="107">
        <f>O217/P247</f>
        <v>0.99307908402787426</v>
      </c>
    </row>
    <row r="250" spans="12:16" x14ac:dyDescent="0.2">
      <c r="N250" s="254" t="s">
        <v>73</v>
      </c>
      <c r="O250" s="255"/>
      <c r="P250" s="108">
        <f>100%-P249</f>
        <v>6.9209159721257407E-3</v>
      </c>
    </row>
    <row r="259" spans="15:15" x14ac:dyDescent="0.2">
      <c r="O259" s="28"/>
    </row>
  </sheetData>
  <mergeCells count="3">
    <mergeCell ref="A78:A81"/>
    <mergeCell ref="B78:B81"/>
    <mergeCell ref="N250:O250"/>
  </mergeCells>
  <printOptions horizontalCentered="1"/>
  <pageMargins left="0" right="0" top="0.27" bottom="0.3" header="0.17" footer="0.19"/>
  <pageSetup paperSize="9" scale="53" orientation="landscape" r:id="rId1"/>
  <headerFooter alignWithMargins="0">
    <oddFooter>Page &amp;P of &amp;N</oddFooter>
  </headerFooter>
  <rowBreaks count="3" manualBreakCount="3">
    <brk id="72" max="16" man="1"/>
    <brk id="146" max="16" man="1"/>
    <brk id="219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132"/>
  <sheetViews>
    <sheetView showGridLines="0" tabSelected="1" view="pageBreakPreview" zoomScaleNormal="100" zoomScaleSheetLayoutView="100" workbookViewId="0">
      <pane xSplit="4" ySplit="3" topLeftCell="E115" activePane="bottomRight" state="frozen"/>
      <selection pane="topRight" activeCell="D1" sqref="D1"/>
      <selection pane="bottomLeft" activeCell="A4" sqref="A4"/>
      <selection pane="bottomRight" activeCell="N116" sqref="N116"/>
    </sheetView>
  </sheetViews>
  <sheetFormatPr defaultColWidth="9.28515625" defaultRowHeight="11.25" outlineLevelRow="1" x14ac:dyDescent="0.2"/>
  <cols>
    <col min="1" max="1" width="9.28515625" style="157" customWidth="1"/>
    <col min="2" max="2" width="12.28515625" style="157" customWidth="1"/>
    <col min="3" max="3" width="16.28515625" style="157" bestFit="1" customWidth="1"/>
    <col min="4" max="4" width="13.42578125" style="2" bestFit="1" customWidth="1"/>
    <col min="5" max="5" width="13.28515625" style="157" bestFit="1" customWidth="1"/>
    <col min="6" max="6" width="12" style="159" customWidth="1"/>
    <col min="7" max="7" width="13" style="157" customWidth="1"/>
    <col min="8" max="8" width="10.7109375" style="157" customWidth="1"/>
    <col min="9" max="9" width="12.28515625" style="157" customWidth="1"/>
    <col min="10" max="10" width="11.28515625" style="157" bestFit="1" customWidth="1"/>
    <col min="11" max="11" width="16.7109375" style="157" bestFit="1" customWidth="1"/>
    <col min="12" max="12" width="15.7109375" style="157" bestFit="1" customWidth="1"/>
    <col min="13" max="13" width="8" style="157" bestFit="1" customWidth="1"/>
    <col min="14" max="16384" width="9.28515625" style="2"/>
  </cols>
  <sheetData>
    <row r="1" spans="1:13" ht="24.75" customHeight="1" x14ac:dyDescent="0.2">
      <c r="A1" s="171" t="s">
        <v>144</v>
      </c>
      <c r="B1" s="155"/>
      <c r="C1" s="155"/>
    </row>
    <row r="2" spans="1:13" x14ac:dyDescent="0.2">
      <c r="L2" s="262" t="s">
        <v>129</v>
      </c>
      <c r="M2" s="262"/>
    </row>
    <row r="3" spans="1:13" ht="45" x14ac:dyDescent="0.2">
      <c r="A3" s="161" t="s">
        <v>122</v>
      </c>
      <c r="B3" s="161" t="s">
        <v>134</v>
      </c>
      <c r="C3" s="161" t="s">
        <v>123</v>
      </c>
      <c r="D3" s="161" t="s">
        <v>124</v>
      </c>
      <c r="E3" s="161" t="s">
        <v>125</v>
      </c>
      <c r="F3" s="162" t="s">
        <v>126</v>
      </c>
      <c r="G3" s="161" t="s">
        <v>5</v>
      </c>
      <c r="H3" s="161" t="s">
        <v>7</v>
      </c>
      <c r="I3" s="163" t="s">
        <v>120</v>
      </c>
      <c r="J3" s="161" t="s">
        <v>10</v>
      </c>
      <c r="K3" s="161" t="s">
        <v>127</v>
      </c>
      <c r="L3" s="161" t="s">
        <v>135</v>
      </c>
      <c r="M3" s="161" t="s">
        <v>15</v>
      </c>
    </row>
    <row r="4" spans="1:13" x14ac:dyDescent="0.2">
      <c r="A4" s="164">
        <v>45614</v>
      </c>
      <c r="B4" s="164">
        <v>45621</v>
      </c>
      <c r="C4" s="160" t="s">
        <v>146</v>
      </c>
      <c r="D4" s="172" t="s">
        <v>147</v>
      </c>
      <c r="E4" s="158">
        <v>47628</v>
      </c>
      <c r="F4" s="166">
        <v>0.05</v>
      </c>
      <c r="G4" s="206"/>
      <c r="H4" s="166"/>
      <c r="I4" s="166">
        <v>0.05</v>
      </c>
      <c r="J4" s="166"/>
      <c r="K4" s="207" t="s">
        <v>148</v>
      </c>
      <c r="L4" s="207" t="s">
        <v>148</v>
      </c>
      <c r="M4" s="170"/>
    </row>
    <row r="5" spans="1:13" x14ac:dyDescent="0.2">
      <c r="A5" s="164"/>
      <c r="B5" s="164"/>
      <c r="C5" s="160"/>
      <c r="D5" s="172"/>
      <c r="E5" s="158"/>
      <c r="F5" s="166"/>
      <c r="G5" s="206"/>
      <c r="H5" s="166"/>
      <c r="I5" s="166"/>
      <c r="J5" s="166"/>
      <c r="K5" s="208">
        <v>17502100</v>
      </c>
      <c r="L5" s="208">
        <v>17502100</v>
      </c>
      <c r="M5" s="170">
        <f>IF(L5=0,0,K5/L5)</f>
        <v>1</v>
      </c>
    </row>
    <row r="6" spans="1:13" x14ac:dyDescent="0.2">
      <c r="A6" s="164"/>
      <c r="B6" s="164"/>
      <c r="C6" s="160"/>
      <c r="D6" s="172" t="s">
        <v>149</v>
      </c>
      <c r="E6" s="158">
        <v>49273</v>
      </c>
      <c r="F6" s="166">
        <v>5.2499999999999998E-2</v>
      </c>
      <c r="G6" s="206"/>
      <c r="H6" s="166"/>
      <c r="I6" s="166">
        <v>5.2499999999999998E-2</v>
      </c>
      <c r="J6" s="166"/>
      <c r="K6" s="208" t="s">
        <v>150</v>
      </c>
      <c r="L6" s="208" t="s">
        <v>150</v>
      </c>
      <c r="M6" s="170"/>
    </row>
    <row r="7" spans="1:13" x14ac:dyDescent="0.2">
      <c r="A7" s="164"/>
      <c r="B7" s="164"/>
      <c r="C7" s="160"/>
      <c r="D7" s="172"/>
      <c r="E7" s="158"/>
      <c r="F7" s="166"/>
      <c r="G7" s="206"/>
      <c r="H7" s="166"/>
      <c r="I7" s="166"/>
      <c r="J7" s="166"/>
      <c r="K7" s="208">
        <v>14319900</v>
      </c>
      <c r="L7" s="208">
        <v>14319900</v>
      </c>
      <c r="M7" s="170">
        <f>IF(L7=0,0,K7/L7)</f>
        <v>1</v>
      </c>
    </row>
    <row r="8" spans="1:13" x14ac:dyDescent="0.2">
      <c r="A8" s="164"/>
      <c r="B8" s="164"/>
      <c r="C8" s="160"/>
      <c r="D8" s="172" t="s">
        <v>151</v>
      </c>
      <c r="E8" s="158">
        <v>56578</v>
      </c>
      <c r="F8" s="166">
        <v>5.6500000000000002E-2</v>
      </c>
      <c r="G8" s="206"/>
      <c r="H8" s="166"/>
      <c r="I8" s="166">
        <v>5.6500000000000002E-2</v>
      </c>
      <c r="J8" s="166"/>
      <c r="K8" s="208" t="s">
        <v>152</v>
      </c>
      <c r="L8" s="208" t="s">
        <v>152</v>
      </c>
      <c r="M8" s="170"/>
    </row>
    <row r="9" spans="1:13" x14ac:dyDescent="0.2">
      <c r="A9" s="164"/>
      <c r="B9" s="164"/>
      <c r="C9" s="160"/>
      <c r="D9" s="172"/>
      <c r="E9" s="158"/>
      <c r="F9" s="166"/>
      <c r="G9" s="206"/>
      <c r="H9" s="166"/>
      <c r="I9" s="166"/>
      <c r="J9" s="166"/>
      <c r="K9" s="208">
        <v>11933250</v>
      </c>
      <c r="L9" s="208">
        <v>11933250</v>
      </c>
      <c r="M9" s="170">
        <f>IF(L9=0,0,K9/L9)</f>
        <v>1</v>
      </c>
    </row>
    <row r="10" spans="1:13" x14ac:dyDescent="0.2">
      <c r="A10" s="256" t="s">
        <v>121</v>
      </c>
      <c r="B10" s="257"/>
      <c r="C10" s="257"/>
      <c r="D10" s="257"/>
      <c r="E10" s="257"/>
      <c r="F10" s="257"/>
      <c r="G10" s="257"/>
      <c r="H10" s="257"/>
      <c r="I10" s="257"/>
      <c r="J10" s="258"/>
      <c r="K10" s="209">
        <f>K5+K7+K9</f>
        <v>43755250</v>
      </c>
      <c r="L10" s="209">
        <f>L5+L7+L9</f>
        <v>43755250</v>
      </c>
      <c r="M10" s="165"/>
    </row>
    <row r="11" spans="1:13" ht="12" customHeight="1" outlineLevel="1" x14ac:dyDescent="0.2">
      <c r="A11" s="164">
        <v>45629</v>
      </c>
      <c r="B11" s="164">
        <v>45631</v>
      </c>
      <c r="C11" s="160" t="s">
        <v>136</v>
      </c>
      <c r="D11" s="172" t="s">
        <v>142</v>
      </c>
      <c r="E11" s="158">
        <v>45817</v>
      </c>
      <c r="F11" s="166" t="s">
        <v>128</v>
      </c>
      <c r="G11" s="166">
        <v>6.3E-2</v>
      </c>
      <c r="H11" s="166">
        <v>7.1499999999999994E-2</v>
      </c>
      <c r="I11" s="166">
        <v>6.3E-2</v>
      </c>
      <c r="J11" s="166">
        <v>6.3E-2</v>
      </c>
      <c r="K11" s="174">
        <v>2090000</v>
      </c>
      <c r="L11" s="174">
        <v>2000000</v>
      </c>
      <c r="M11" s="170">
        <f>IF(L11=0,0,K11/L11)</f>
        <v>1.0449999999999999</v>
      </c>
    </row>
    <row r="12" spans="1:13" ht="12" customHeight="1" outlineLevel="1" x14ac:dyDescent="0.2">
      <c r="A12" s="164"/>
      <c r="B12" s="164"/>
      <c r="C12" s="160"/>
      <c r="D12" s="172" t="s">
        <v>145</v>
      </c>
      <c r="E12" s="158">
        <v>45901</v>
      </c>
      <c r="F12" s="166" t="s">
        <v>128</v>
      </c>
      <c r="G12" s="166">
        <v>6.3E-2</v>
      </c>
      <c r="H12" s="166">
        <v>7.1999999999999995E-2</v>
      </c>
      <c r="I12" s="178">
        <v>6.3E-2</v>
      </c>
      <c r="J12" s="179">
        <v>6.3E-2</v>
      </c>
      <c r="K12" s="174">
        <v>3230000</v>
      </c>
      <c r="L12" s="174">
        <v>3050000</v>
      </c>
      <c r="M12" s="170">
        <f t="shared" ref="M12:M17" si="0">IF(L12=0,0,K12/L12)</f>
        <v>1.0590163934426229</v>
      </c>
    </row>
    <row r="13" spans="1:13" ht="12.75" customHeight="1" outlineLevel="1" x14ac:dyDescent="0.2">
      <c r="A13" s="164"/>
      <c r="B13" s="158"/>
      <c r="C13" s="160"/>
      <c r="D13" s="172" t="s">
        <v>138</v>
      </c>
      <c r="E13" s="158">
        <v>46218</v>
      </c>
      <c r="F13" s="166">
        <v>4.8750000000000002E-2</v>
      </c>
      <c r="G13" s="166">
        <v>6.8000000000000005E-2</v>
      </c>
      <c r="H13" s="166">
        <v>7.0699999999999999E-2</v>
      </c>
      <c r="I13" s="175">
        <v>6.8484100000000006E-2</v>
      </c>
      <c r="J13" s="179">
        <v>6.8500000000000005E-2</v>
      </c>
      <c r="K13" s="174">
        <v>1897000</v>
      </c>
      <c r="L13" s="174">
        <v>450000</v>
      </c>
      <c r="M13" s="170">
        <f t="shared" si="0"/>
        <v>4.2155555555555555</v>
      </c>
    </row>
    <row r="14" spans="1:13" ht="12.75" customHeight="1" outlineLevel="1" x14ac:dyDescent="0.2">
      <c r="A14" s="156"/>
      <c r="B14" s="156"/>
      <c r="C14" s="156"/>
      <c r="D14" s="2" t="s">
        <v>139</v>
      </c>
      <c r="E14" s="158">
        <v>46949</v>
      </c>
      <c r="F14" s="177">
        <v>5.8749999999999997E-2</v>
      </c>
      <c r="G14" s="166">
        <v>6.7500000000000004E-2</v>
      </c>
      <c r="H14" s="166">
        <v>6.9900000000000004E-2</v>
      </c>
      <c r="I14" s="175">
        <v>6.7981399999999997E-2</v>
      </c>
      <c r="J14" s="166">
        <v>6.8400000000000002E-2</v>
      </c>
      <c r="K14" s="174">
        <v>1521500</v>
      </c>
      <c r="L14" s="174">
        <v>1100000</v>
      </c>
      <c r="M14" s="170">
        <f t="shared" si="0"/>
        <v>1.3831818181818183</v>
      </c>
    </row>
    <row r="15" spans="1:13" ht="12.75" customHeight="1" outlineLevel="1" x14ac:dyDescent="0.2">
      <c r="A15" s="156"/>
      <c r="B15" s="156"/>
      <c r="C15" s="156"/>
      <c r="D15" s="172" t="s">
        <v>141</v>
      </c>
      <c r="E15" s="158">
        <v>50936</v>
      </c>
      <c r="F15" s="166">
        <v>6.5000000000000002E-2</v>
      </c>
      <c r="G15" s="166">
        <v>6.93E-2</v>
      </c>
      <c r="H15" s="166">
        <v>7.0999999999999994E-2</v>
      </c>
      <c r="I15" s="175">
        <v>6.93E-2</v>
      </c>
      <c r="J15" s="175">
        <v>6.93E-2</v>
      </c>
      <c r="K15" s="174">
        <v>1285500</v>
      </c>
      <c r="L15" s="174">
        <v>100000</v>
      </c>
      <c r="M15" s="170">
        <f t="shared" si="0"/>
        <v>12.855</v>
      </c>
    </row>
    <row r="16" spans="1:13" ht="12.75" customHeight="1" outlineLevel="1" x14ac:dyDescent="0.2">
      <c r="A16" s="156"/>
      <c r="B16" s="156"/>
      <c r="C16" s="156"/>
      <c r="D16" s="172" t="s">
        <v>140</v>
      </c>
      <c r="E16" s="158">
        <v>51697</v>
      </c>
      <c r="F16" s="166">
        <v>6.6250000000000003E-2</v>
      </c>
      <c r="G16" s="166">
        <v>7.0000000000000007E-2</v>
      </c>
      <c r="H16" s="166">
        <v>7.1499999999999994E-2</v>
      </c>
      <c r="I16" s="175" t="s">
        <v>130</v>
      </c>
      <c r="J16" s="175" t="s">
        <v>130</v>
      </c>
      <c r="K16" s="174">
        <v>1064500</v>
      </c>
      <c r="L16" s="174">
        <v>0</v>
      </c>
      <c r="M16" s="203" t="s">
        <v>130</v>
      </c>
    </row>
    <row r="17" spans="1:13" ht="12.75" customHeight="1" outlineLevel="1" x14ac:dyDescent="0.2">
      <c r="A17" s="180"/>
      <c r="B17" s="156"/>
      <c r="C17" s="181"/>
      <c r="D17" s="172" t="s">
        <v>137</v>
      </c>
      <c r="E17" s="158">
        <v>54772</v>
      </c>
      <c r="F17" s="166">
        <v>6.8750000000000006E-2</v>
      </c>
      <c r="G17" s="166">
        <v>7.0199999999999999E-2</v>
      </c>
      <c r="H17" s="166">
        <v>7.1999999999999995E-2</v>
      </c>
      <c r="I17" s="175">
        <v>7.0999900000000005E-2</v>
      </c>
      <c r="J17" s="175">
        <v>7.1300000000000002E-2</v>
      </c>
      <c r="K17" s="174">
        <v>2585800</v>
      </c>
      <c r="L17" s="174">
        <v>1300000</v>
      </c>
      <c r="M17" s="170">
        <f t="shared" si="0"/>
        <v>1.9890769230769232</v>
      </c>
    </row>
    <row r="18" spans="1:13" s="1" customFormat="1" ht="12.75" customHeight="1" outlineLevel="1" x14ac:dyDescent="0.2">
      <c r="A18" s="256" t="s">
        <v>121</v>
      </c>
      <c r="B18" s="257"/>
      <c r="C18" s="257"/>
      <c r="D18" s="257"/>
      <c r="E18" s="257"/>
      <c r="F18" s="257"/>
      <c r="G18" s="257"/>
      <c r="H18" s="257"/>
      <c r="I18" s="257"/>
      <c r="J18" s="258"/>
      <c r="K18" s="176">
        <f>SUM(K11:K17)</f>
        <v>13674300</v>
      </c>
      <c r="L18" s="176">
        <f>SUM(L11:L17)</f>
        <v>8000000</v>
      </c>
      <c r="M18" s="165"/>
    </row>
    <row r="19" spans="1:13" ht="12" customHeight="1" outlineLevel="1" x14ac:dyDescent="0.2">
      <c r="A19" s="197">
        <v>45636</v>
      </c>
      <c r="B19" s="202">
        <v>45638</v>
      </c>
      <c r="C19" s="198" t="s">
        <v>136</v>
      </c>
      <c r="D19" s="183" t="s">
        <v>161</v>
      </c>
      <c r="E19" s="184">
        <v>45730</v>
      </c>
      <c r="F19" s="185" t="s">
        <v>128</v>
      </c>
      <c r="G19" s="201">
        <v>6.6000000000000003E-2</v>
      </c>
      <c r="H19" s="201">
        <v>7.0000000000000007E-2</v>
      </c>
      <c r="I19" s="193" t="s">
        <v>130</v>
      </c>
      <c r="J19" s="193" t="s">
        <v>130</v>
      </c>
      <c r="K19" s="210">
        <v>2040000</v>
      </c>
      <c r="L19" s="210">
        <v>0</v>
      </c>
      <c r="M19" s="187">
        <f t="shared" ref="M19:M26" si="1">IF(L19=0,0,K19/L19)</f>
        <v>0</v>
      </c>
    </row>
    <row r="20" spans="1:13" ht="12" customHeight="1" outlineLevel="1" x14ac:dyDescent="0.2">
      <c r="A20" s="197"/>
      <c r="B20" s="182"/>
      <c r="C20" s="198"/>
      <c r="D20" s="183" t="s">
        <v>162</v>
      </c>
      <c r="E20" s="184">
        <v>46002</v>
      </c>
      <c r="F20" s="185" t="s">
        <v>128</v>
      </c>
      <c r="G20" s="185">
        <v>6.8000000000000005E-2</v>
      </c>
      <c r="H20" s="211">
        <v>7.0000000000000007E-2</v>
      </c>
      <c r="I20" s="212" t="s">
        <v>130</v>
      </c>
      <c r="J20" s="201" t="s">
        <v>130</v>
      </c>
      <c r="K20" s="213">
        <v>3040000</v>
      </c>
      <c r="L20" s="213">
        <v>0</v>
      </c>
      <c r="M20" s="187">
        <f t="shared" si="1"/>
        <v>0</v>
      </c>
    </row>
    <row r="21" spans="1:13" ht="12.75" customHeight="1" outlineLevel="1" x14ac:dyDescent="0.2">
      <c r="A21" s="197"/>
      <c r="B21" s="184"/>
      <c r="C21" s="198"/>
      <c r="D21" s="183" t="s">
        <v>154</v>
      </c>
      <c r="E21" s="184">
        <v>47679</v>
      </c>
      <c r="F21" s="185">
        <v>6.5000000000000002E-2</v>
      </c>
      <c r="G21" s="185">
        <v>6.8199999999999997E-2</v>
      </c>
      <c r="H21" s="185">
        <v>7.0499999999999993E-2</v>
      </c>
      <c r="I21" s="212">
        <v>6.8696199999999999E-2</v>
      </c>
      <c r="J21" s="186">
        <v>6.9199999999999998E-2</v>
      </c>
      <c r="K21" s="210">
        <v>7869000</v>
      </c>
      <c r="L21" s="210">
        <v>6700000</v>
      </c>
      <c r="M21" s="187">
        <f t="shared" si="1"/>
        <v>1.1744776119402984</v>
      </c>
    </row>
    <row r="22" spans="1:13" ht="12.75" customHeight="1" outlineLevel="1" x14ac:dyDescent="0.2">
      <c r="A22" s="190"/>
      <c r="B22" s="188"/>
      <c r="C22" s="191"/>
      <c r="D22" s="183" t="s">
        <v>155</v>
      </c>
      <c r="E22" s="184">
        <v>49505</v>
      </c>
      <c r="F22" s="185">
        <v>6.7500000000000004E-2</v>
      </c>
      <c r="G22" s="185">
        <v>6.9800000000000001E-2</v>
      </c>
      <c r="H22" s="185">
        <v>7.1900000000000006E-2</v>
      </c>
      <c r="I22" s="186">
        <v>7.0231799999999997E-2</v>
      </c>
      <c r="J22" s="196">
        <v>7.0499999999999993E-2</v>
      </c>
      <c r="K22" s="210">
        <v>16313500</v>
      </c>
      <c r="L22" s="210">
        <v>11150000</v>
      </c>
      <c r="M22" s="187">
        <f t="shared" si="1"/>
        <v>1.4630941704035874</v>
      </c>
    </row>
    <row r="23" spans="1:13" ht="12.75" customHeight="1" outlineLevel="1" x14ac:dyDescent="0.2">
      <c r="A23" s="190"/>
      <c r="B23" s="188"/>
      <c r="C23" s="191"/>
      <c r="D23" s="183" t="s">
        <v>156</v>
      </c>
      <c r="E23" s="184">
        <v>50571</v>
      </c>
      <c r="F23" s="185">
        <v>7.1249999999999994E-2</v>
      </c>
      <c r="G23" s="185">
        <v>7.0300000000000001E-2</v>
      </c>
      <c r="H23" s="185">
        <v>7.1999999999999995E-2</v>
      </c>
      <c r="I23" s="195">
        <v>7.0888099999999996E-2</v>
      </c>
      <c r="J23" s="196">
        <v>7.1199999999999999E-2</v>
      </c>
      <c r="K23" s="210">
        <v>3398400</v>
      </c>
      <c r="L23" s="210">
        <v>2600000</v>
      </c>
      <c r="M23" s="187">
        <f t="shared" si="1"/>
        <v>1.307076923076923</v>
      </c>
    </row>
    <row r="24" spans="1:13" ht="12.75" customHeight="1" outlineLevel="1" x14ac:dyDescent="0.2">
      <c r="A24" s="190"/>
      <c r="B24" s="188"/>
      <c r="C24" s="191"/>
      <c r="D24" s="183" t="s">
        <v>157</v>
      </c>
      <c r="E24" s="184">
        <v>52397</v>
      </c>
      <c r="F24" s="185">
        <v>7.1249999999999994E-2</v>
      </c>
      <c r="G24" s="185">
        <v>7.0900000000000005E-2</v>
      </c>
      <c r="H24" s="185">
        <v>7.2499999999999995E-2</v>
      </c>
      <c r="I24" s="186">
        <v>7.0999199999999998E-2</v>
      </c>
      <c r="J24" s="194">
        <v>7.0999999999999994E-2</v>
      </c>
      <c r="K24" s="214">
        <v>2515300</v>
      </c>
      <c r="L24" s="214">
        <v>1150000</v>
      </c>
      <c r="M24" s="187">
        <f t="shared" si="1"/>
        <v>2.187217391304348</v>
      </c>
    </row>
    <row r="25" spans="1:13" ht="12.75" customHeight="1" outlineLevel="1" x14ac:dyDescent="0.2">
      <c r="A25" s="190"/>
      <c r="B25" s="188"/>
      <c r="C25" s="191"/>
      <c r="D25" s="183" t="s">
        <v>158</v>
      </c>
      <c r="E25" s="184">
        <v>56445</v>
      </c>
      <c r="F25" s="185">
        <v>6.8750000000000006E-2</v>
      </c>
      <c r="G25" s="185">
        <v>7.0499999999999993E-2</v>
      </c>
      <c r="H25" s="185">
        <v>7.2099999999999997E-2</v>
      </c>
      <c r="I25" s="186">
        <v>7.1079699999999996E-2</v>
      </c>
      <c r="J25" s="194">
        <v>7.1300000000000002E-2</v>
      </c>
      <c r="K25" s="214">
        <v>1672300</v>
      </c>
      <c r="L25" s="214">
        <v>300000</v>
      </c>
      <c r="M25" s="187">
        <f t="shared" si="1"/>
        <v>5.5743333333333336</v>
      </c>
    </row>
    <row r="26" spans="1:13" ht="12.75" customHeight="1" outlineLevel="1" x14ac:dyDescent="0.2">
      <c r="A26" s="190"/>
      <c r="B26" s="199"/>
      <c r="C26" s="191"/>
      <c r="D26" s="183" t="s">
        <v>159</v>
      </c>
      <c r="E26" s="184">
        <v>60098</v>
      </c>
      <c r="F26" s="185">
        <v>6.8750000000000006E-2</v>
      </c>
      <c r="G26" s="185">
        <v>7.0800000000000002E-2</v>
      </c>
      <c r="H26" s="185">
        <v>7.1800000000000003E-2</v>
      </c>
      <c r="I26" s="196">
        <v>7.1225399999999994E-2</v>
      </c>
      <c r="J26" s="195">
        <v>7.1499999999999994E-2</v>
      </c>
      <c r="K26" s="214">
        <v>2132100</v>
      </c>
      <c r="L26" s="214">
        <v>100000</v>
      </c>
      <c r="M26" s="200">
        <f t="shared" si="1"/>
        <v>21.321000000000002</v>
      </c>
    </row>
    <row r="27" spans="1:13" s="1" customFormat="1" ht="12.75" customHeight="1" outlineLevel="1" x14ac:dyDescent="0.2">
      <c r="A27" s="263" t="s">
        <v>121</v>
      </c>
      <c r="B27" s="264"/>
      <c r="C27" s="265"/>
      <c r="D27" s="265"/>
      <c r="E27" s="265"/>
      <c r="F27" s="265"/>
      <c r="G27" s="265"/>
      <c r="H27" s="265"/>
      <c r="I27" s="265"/>
      <c r="J27" s="266"/>
      <c r="K27" s="189">
        <f>SUM(K19:K26)</f>
        <v>38980600</v>
      </c>
      <c r="L27" s="189">
        <f>SUM(L19:L26)</f>
        <v>22000000</v>
      </c>
      <c r="M27" s="192"/>
    </row>
    <row r="28" spans="1:13" ht="12" customHeight="1" outlineLevel="1" x14ac:dyDescent="0.2">
      <c r="A28" s="164">
        <v>45643</v>
      </c>
      <c r="B28" s="164">
        <v>45645</v>
      </c>
      <c r="C28" s="160" t="s">
        <v>136</v>
      </c>
      <c r="D28" s="172" t="s">
        <v>142</v>
      </c>
      <c r="E28" s="158">
        <v>45817</v>
      </c>
      <c r="F28" s="166" t="s">
        <v>128</v>
      </c>
      <c r="G28" s="166">
        <v>6.7000000000000004E-2</v>
      </c>
      <c r="H28" s="166">
        <v>6.7000000000000004E-2</v>
      </c>
      <c r="I28" s="178">
        <v>0</v>
      </c>
      <c r="J28" s="178">
        <v>0</v>
      </c>
      <c r="K28" s="174">
        <v>2035000</v>
      </c>
      <c r="L28" s="174">
        <v>0</v>
      </c>
      <c r="M28" s="204" t="s">
        <v>130</v>
      </c>
    </row>
    <row r="29" spans="1:13" ht="12" customHeight="1" outlineLevel="1" x14ac:dyDescent="0.2">
      <c r="A29" s="164"/>
      <c r="B29" s="164"/>
      <c r="C29" s="160"/>
      <c r="D29" s="172" t="s">
        <v>145</v>
      </c>
      <c r="E29" s="158">
        <v>45901</v>
      </c>
      <c r="F29" s="166" t="s">
        <v>128</v>
      </c>
      <c r="G29" s="166">
        <v>6.3799999999999996E-2</v>
      </c>
      <c r="H29" s="166">
        <v>6.9000000000000006E-2</v>
      </c>
      <c r="I29" s="178">
        <v>6.3799999999999996E-2</v>
      </c>
      <c r="J29" s="179">
        <v>6.3799999999999996E-2</v>
      </c>
      <c r="K29" s="174">
        <v>3205000</v>
      </c>
      <c r="L29" s="174">
        <v>3150000</v>
      </c>
      <c r="M29" s="205">
        <f t="shared" ref="M29:M34" si="2">IF(L29=0,0,K29/L29)</f>
        <v>1.0174603174603174</v>
      </c>
    </row>
    <row r="30" spans="1:13" ht="12.75" customHeight="1" outlineLevel="1" x14ac:dyDescent="0.2">
      <c r="A30" s="164"/>
      <c r="B30" s="158"/>
      <c r="C30" s="160"/>
      <c r="D30" s="172" t="s">
        <v>50</v>
      </c>
      <c r="E30" s="158">
        <v>46402</v>
      </c>
      <c r="F30" s="166">
        <v>0.06</v>
      </c>
      <c r="G30" s="166">
        <v>6.7400000000000002E-2</v>
      </c>
      <c r="H30" s="166">
        <v>7.0900000000000005E-2</v>
      </c>
      <c r="I30" s="175">
        <v>6.8898899999999999E-2</v>
      </c>
      <c r="J30" s="179">
        <v>6.9199999999999998E-2</v>
      </c>
      <c r="K30" s="174">
        <v>890000</v>
      </c>
      <c r="L30" s="174">
        <v>100000</v>
      </c>
      <c r="M30" s="204" t="s">
        <v>130</v>
      </c>
    </row>
    <row r="31" spans="1:13" ht="12.75" customHeight="1" outlineLevel="1" x14ac:dyDescent="0.2">
      <c r="A31" s="156"/>
      <c r="B31" s="156"/>
      <c r="C31" s="156"/>
      <c r="D31" s="2" t="s">
        <v>139</v>
      </c>
      <c r="E31" s="158">
        <v>46949</v>
      </c>
      <c r="F31" s="177">
        <v>5.8749999999999997E-2</v>
      </c>
      <c r="G31" s="166">
        <v>6.8699999999999997E-2</v>
      </c>
      <c r="H31" s="166">
        <v>7.2499999999999995E-2</v>
      </c>
      <c r="I31" s="175">
        <v>6.8990700000000002E-2</v>
      </c>
      <c r="J31" s="166">
        <v>6.9500000000000006E-2</v>
      </c>
      <c r="K31" s="174">
        <v>494000</v>
      </c>
      <c r="L31" s="174">
        <v>300000</v>
      </c>
      <c r="M31" s="205">
        <f t="shared" si="2"/>
        <v>1.6466666666666667</v>
      </c>
    </row>
    <row r="32" spans="1:13" ht="12.75" customHeight="1" outlineLevel="1" x14ac:dyDescent="0.2">
      <c r="A32" s="156"/>
      <c r="B32" s="156"/>
      <c r="C32" s="156"/>
      <c r="D32" s="172" t="s">
        <v>143</v>
      </c>
      <c r="E32" s="158">
        <v>49018</v>
      </c>
      <c r="F32" s="166">
        <v>6.3750000000000001E-2</v>
      </c>
      <c r="G32" s="166">
        <v>6.7799999999999999E-2</v>
      </c>
      <c r="H32" s="166">
        <v>7.0199999999999999E-2</v>
      </c>
      <c r="I32" s="175">
        <v>0</v>
      </c>
      <c r="J32" s="175">
        <v>0</v>
      </c>
      <c r="K32" s="174">
        <v>122500</v>
      </c>
      <c r="L32" s="174">
        <v>0</v>
      </c>
      <c r="M32" s="205">
        <f t="shared" si="2"/>
        <v>0</v>
      </c>
    </row>
    <row r="33" spans="1:15" ht="12.75" customHeight="1" outlineLevel="1" x14ac:dyDescent="0.2">
      <c r="A33" s="180"/>
      <c r="B33" s="156"/>
      <c r="C33" s="181"/>
      <c r="D33" s="172" t="s">
        <v>141</v>
      </c>
      <c r="E33" s="158">
        <v>50936</v>
      </c>
      <c r="F33" s="166">
        <v>6.5000000000000002E-2</v>
      </c>
      <c r="G33" s="166">
        <v>6.8599999999999994E-2</v>
      </c>
      <c r="H33" s="166">
        <v>7.1499999999999994E-2</v>
      </c>
      <c r="I33" s="175">
        <v>0</v>
      </c>
      <c r="J33" s="175">
        <v>0</v>
      </c>
      <c r="K33" s="174">
        <v>166000</v>
      </c>
      <c r="L33" s="174">
        <v>0</v>
      </c>
      <c r="M33" s="205">
        <f t="shared" si="2"/>
        <v>0</v>
      </c>
    </row>
    <row r="34" spans="1:15" ht="12.75" customHeight="1" outlineLevel="1" x14ac:dyDescent="0.2">
      <c r="A34" s="156"/>
      <c r="B34" s="156"/>
      <c r="C34" s="156"/>
      <c r="D34" s="172" t="s">
        <v>137</v>
      </c>
      <c r="E34" s="158">
        <v>18247</v>
      </c>
      <c r="F34" s="166">
        <v>6.8750000000000006E-2</v>
      </c>
      <c r="G34" s="166">
        <v>7.0999999999999994E-2</v>
      </c>
      <c r="H34" s="166">
        <v>7.3400000000000007E-2</v>
      </c>
      <c r="I34" s="175">
        <v>7.1598800000000004E-2</v>
      </c>
      <c r="J34" s="175">
        <v>7.1800000000000003E-2</v>
      </c>
      <c r="K34" s="174">
        <v>3881500</v>
      </c>
      <c r="L34" s="174">
        <v>3550000</v>
      </c>
      <c r="M34" s="205">
        <f t="shared" si="2"/>
        <v>1.0933802816901408</v>
      </c>
    </row>
    <row r="35" spans="1:15" s="1" customFormat="1" ht="12.75" customHeight="1" outlineLevel="1" x14ac:dyDescent="0.2">
      <c r="A35" s="256" t="s">
        <v>121</v>
      </c>
      <c r="B35" s="257"/>
      <c r="C35" s="257"/>
      <c r="D35" s="257"/>
      <c r="E35" s="257"/>
      <c r="F35" s="257"/>
      <c r="G35" s="257"/>
      <c r="H35" s="257"/>
      <c r="I35" s="257"/>
      <c r="J35" s="258"/>
      <c r="K35" s="176">
        <f>SUM(K28:K34)</f>
        <v>10794000</v>
      </c>
      <c r="L35" s="176">
        <f>SUM(L28:L34)</f>
        <v>7100000</v>
      </c>
      <c r="M35" s="165"/>
    </row>
    <row r="36" spans="1:15" s="222" customFormat="1" ht="17.25" customHeight="1" outlineLevel="1" x14ac:dyDescent="0.2">
      <c r="A36" s="226">
        <v>45646</v>
      </c>
      <c r="B36" s="226">
        <v>45650</v>
      </c>
      <c r="C36" s="225" t="s">
        <v>160</v>
      </c>
      <c r="D36" s="215" t="s">
        <v>98</v>
      </c>
      <c r="E36" s="216">
        <v>48714</v>
      </c>
      <c r="F36" s="217">
        <v>6.6250000000000003E-2</v>
      </c>
      <c r="G36" s="218" t="s">
        <v>130</v>
      </c>
      <c r="H36" s="218" t="s">
        <v>130</v>
      </c>
      <c r="I36" s="219">
        <v>7.0300000000000001E-2</v>
      </c>
      <c r="J36" s="218" t="s">
        <v>130</v>
      </c>
      <c r="K36" s="220">
        <v>5000000</v>
      </c>
      <c r="L36" s="220">
        <f t="shared" ref="L36" si="3">K36</f>
        <v>5000000</v>
      </c>
      <c r="M36" s="221">
        <f t="shared" ref="M36" si="4">IF(L36=0,0,K36/L36)</f>
        <v>1</v>
      </c>
      <c r="O36" s="223"/>
    </row>
    <row r="37" spans="1:15" s="222" customFormat="1" ht="13.5" customHeight="1" outlineLevel="1" x14ac:dyDescent="0.2">
      <c r="A37" s="267" t="s">
        <v>121</v>
      </c>
      <c r="B37" s="268"/>
      <c r="C37" s="268"/>
      <c r="D37" s="268"/>
      <c r="E37" s="268"/>
      <c r="F37" s="268"/>
      <c r="G37" s="268"/>
      <c r="H37" s="268"/>
      <c r="I37" s="268"/>
      <c r="J37" s="269"/>
      <c r="K37" s="224">
        <f>SUM(K36:K36)</f>
        <v>5000000</v>
      </c>
      <c r="L37" s="224">
        <f>SUM(L36:L36)</f>
        <v>5000000</v>
      </c>
      <c r="M37" s="224"/>
    </row>
    <row r="38" spans="1:15" ht="12" customHeight="1" outlineLevel="1" x14ac:dyDescent="0.2">
      <c r="A38" s="197">
        <v>45664</v>
      </c>
      <c r="B38" s="202">
        <v>45666</v>
      </c>
      <c r="C38" s="198" t="s">
        <v>136</v>
      </c>
      <c r="D38" s="183" t="s">
        <v>163</v>
      </c>
      <c r="E38" s="184">
        <v>45755</v>
      </c>
      <c r="F38" s="185" t="s">
        <v>128</v>
      </c>
      <c r="G38" s="201">
        <v>6.6000000000000003E-2</v>
      </c>
      <c r="H38" s="201">
        <v>7.2499999999999995E-2</v>
      </c>
      <c r="I38" s="193" t="s">
        <v>130</v>
      </c>
      <c r="J38" s="193" t="s">
        <v>130</v>
      </c>
      <c r="K38" s="210">
        <v>1031000</v>
      </c>
      <c r="L38" s="210">
        <v>0</v>
      </c>
      <c r="M38" s="187">
        <f t="shared" ref="M38:M45" si="5">IF(L38=0,0,K38/L38)</f>
        <v>0</v>
      </c>
    </row>
    <row r="39" spans="1:15" ht="12" customHeight="1" outlineLevel="1" x14ac:dyDescent="0.2">
      <c r="A39" s="197"/>
      <c r="B39" s="182"/>
      <c r="C39" s="198"/>
      <c r="D39" s="183" t="s">
        <v>164</v>
      </c>
      <c r="E39" s="184">
        <v>46030</v>
      </c>
      <c r="F39" s="185" t="s">
        <v>128</v>
      </c>
      <c r="G39" s="185">
        <v>6.6500000000000004E-2</v>
      </c>
      <c r="H39" s="211">
        <v>7.2999999999999995E-2</v>
      </c>
      <c r="I39" s="212">
        <v>6.6500000000000004E-2</v>
      </c>
      <c r="J39" s="201">
        <v>6.6500000000000004E-2</v>
      </c>
      <c r="K39" s="213">
        <v>1711000</v>
      </c>
      <c r="L39" s="213">
        <v>1600000</v>
      </c>
      <c r="M39" s="187">
        <f t="shared" si="5"/>
        <v>1.069375</v>
      </c>
    </row>
    <row r="40" spans="1:15" ht="12.75" customHeight="1" outlineLevel="1" x14ac:dyDescent="0.2">
      <c r="A40" s="197"/>
      <c r="B40" s="184"/>
      <c r="C40" s="198"/>
      <c r="D40" s="183" t="s">
        <v>154</v>
      </c>
      <c r="E40" s="184">
        <v>47679</v>
      </c>
      <c r="F40" s="185">
        <v>6.5000000000000002E-2</v>
      </c>
      <c r="G40" s="185">
        <v>6.93E-2</v>
      </c>
      <c r="H40" s="185">
        <v>7.1099999999999997E-2</v>
      </c>
      <c r="I40" s="212">
        <v>7.0199700000000004E-2</v>
      </c>
      <c r="J40" s="186">
        <v>7.0499999999999993E-2</v>
      </c>
      <c r="K40" s="210">
        <v>9701100</v>
      </c>
      <c r="L40" s="210">
        <v>7100000</v>
      </c>
      <c r="M40" s="187">
        <f t="shared" si="5"/>
        <v>1.3663521126760563</v>
      </c>
    </row>
    <row r="41" spans="1:15" ht="12.75" customHeight="1" outlineLevel="1" x14ac:dyDescent="0.2">
      <c r="A41" s="190"/>
      <c r="B41" s="188"/>
      <c r="C41" s="191"/>
      <c r="D41" s="183" t="s">
        <v>155</v>
      </c>
      <c r="E41" s="184">
        <v>49505</v>
      </c>
      <c r="F41" s="185">
        <v>6.7500000000000004E-2</v>
      </c>
      <c r="G41" s="185">
        <v>7.0099999999999996E-2</v>
      </c>
      <c r="H41" s="185">
        <v>7.1999999999999995E-2</v>
      </c>
      <c r="I41" s="186">
        <v>7.0996900000000002E-2</v>
      </c>
      <c r="J41" s="196">
        <v>7.1499999999999994E-2</v>
      </c>
      <c r="K41" s="210">
        <v>6203400</v>
      </c>
      <c r="L41" s="210">
        <v>5700000</v>
      </c>
      <c r="M41" s="187">
        <f t="shared" si="5"/>
        <v>1.0883157894736841</v>
      </c>
    </row>
    <row r="42" spans="1:15" ht="12.75" customHeight="1" outlineLevel="1" x14ac:dyDescent="0.2">
      <c r="A42" s="190"/>
      <c r="B42" s="188"/>
      <c r="C42" s="191"/>
      <c r="D42" s="183" t="s">
        <v>165</v>
      </c>
      <c r="E42" s="184">
        <v>51363</v>
      </c>
      <c r="F42" s="185">
        <v>7.1249999999999994E-2</v>
      </c>
      <c r="G42" s="185">
        <v>7.0599999999999996E-2</v>
      </c>
      <c r="H42" s="185">
        <v>7.2499999999999995E-2</v>
      </c>
      <c r="I42" s="195">
        <v>7.1495900000000001E-2</v>
      </c>
      <c r="J42" s="196">
        <v>7.1999999999999995E-2</v>
      </c>
      <c r="K42" s="210">
        <v>6458100</v>
      </c>
      <c r="L42" s="210">
        <v>5950000</v>
      </c>
      <c r="M42" s="187">
        <f t="shared" si="5"/>
        <v>1.0853949579831932</v>
      </c>
    </row>
    <row r="43" spans="1:15" ht="12.75" customHeight="1" outlineLevel="1" x14ac:dyDescent="0.2">
      <c r="A43" s="190"/>
      <c r="B43" s="188"/>
      <c r="C43" s="191"/>
      <c r="D43" s="183" t="s">
        <v>166</v>
      </c>
      <c r="E43" s="184">
        <v>53189</v>
      </c>
      <c r="F43" s="185">
        <v>7.1249999999999994E-2</v>
      </c>
      <c r="G43" s="185">
        <v>7.0999999999999994E-2</v>
      </c>
      <c r="H43" s="185">
        <v>7.2499999999999995E-2</v>
      </c>
      <c r="I43" s="186">
        <v>7.1798100000000004E-2</v>
      </c>
      <c r="J43" s="194">
        <v>7.22E-2</v>
      </c>
      <c r="K43" s="214">
        <v>5616400</v>
      </c>
      <c r="L43" s="214">
        <v>5500000</v>
      </c>
      <c r="M43" s="187">
        <f t="shared" si="5"/>
        <v>1.0211636363636363</v>
      </c>
    </row>
    <row r="44" spans="1:15" ht="12.75" customHeight="1" outlineLevel="1" x14ac:dyDescent="0.2">
      <c r="A44" s="190"/>
      <c r="B44" s="188"/>
      <c r="C44" s="191"/>
      <c r="D44" s="183" t="s">
        <v>158</v>
      </c>
      <c r="E44" s="184">
        <v>56445</v>
      </c>
      <c r="F44" s="185">
        <v>6.8750000000000006E-2</v>
      </c>
      <c r="G44" s="185">
        <v>7.0599999999999996E-2</v>
      </c>
      <c r="H44" s="185">
        <v>7.22E-2</v>
      </c>
      <c r="I44" s="186">
        <v>7.1077299999999996E-2</v>
      </c>
      <c r="J44" s="194">
        <v>7.1400000000000005E-2</v>
      </c>
      <c r="K44" s="214">
        <v>563000</v>
      </c>
      <c r="L44" s="214">
        <v>350000</v>
      </c>
      <c r="M44" s="187">
        <f t="shared" si="5"/>
        <v>1.6085714285714285</v>
      </c>
    </row>
    <row r="45" spans="1:15" ht="12.75" customHeight="1" outlineLevel="1" x14ac:dyDescent="0.2">
      <c r="A45" s="190"/>
      <c r="B45" s="199"/>
      <c r="C45" s="191"/>
      <c r="D45" s="183" t="s">
        <v>159</v>
      </c>
      <c r="E45" s="184">
        <v>60098</v>
      </c>
      <c r="F45" s="185">
        <v>6.8750000000000006E-2</v>
      </c>
      <c r="G45" s="185">
        <v>7.1199999999999999E-2</v>
      </c>
      <c r="H45" s="185">
        <v>7.22E-2</v>
      </c>
      <c r="I45" s="196" t="s">
        <v>130</v>
      </c>
      <c r="J45" s="195" t="s">
        <v>130</v>
      </c>
      <c r="K45" s="214">
        <v>371300</v>
      </c>
      <c r="L45" s="214">
        <v>0</v>
      </c>
      <c r="M45" s="200">
        <f t="shared" si="5"/>
        <v>0</v>
      </c>
    </row>
    <row r="46" spans="1:15" s="1" customFormat="1" ht="12.75" customHeight="1" outlineLevel="1" x14ac:dyDescent="0.2">
      <c r="A46" s="263" t="s">
        <v>121</v>
      </c>
      <c r="B46" s="264"/>
      <c r="C46" s="265"/>
      <c r="D46" s="265"/>
      <c r="E46" s="265"/>
      <c r="F46" s="265"/>
      <c r="G46" s="265"/>
      <c r="H46" s="265"/>
      <c r="I46" s="265"/>
      <c r="J46" s="266"/>
      <c r="K46" s="189">
        <f>SUM(K38:K45)</f>
        <v>31655300</v>
      </c>
      <c r="L46" s="189">
        <f>SUM(L38:L45)</f>
        <v>26200000</v>
      </c>
      <c r="M46" s="192"/>
    </row>
    <row r="47" spans="1:15" s="234" customFormat="1" x14ac:dyDescent="0.2">
      <c r="A47" s="227">
        <v>45665</v>
      </c>
      <c r="B47" s="227">
        <v>45672</v>
      </c>
      <c r="C47" s="228" t="s">
        <v>146</v>
      </c>
      <c r="D47" s="229" t="s">
        <v>170</v>
      </c>
      <c r="E47" s="227">
        <v>47498</v>
      </c>
      <c r="F47" s="230">
        <v>5.2499999999999998E-2</v>
      </c>
      <c r="G47" s="230"/>
      <c r="H47" s="230"/>
      <c r="I47" s="231">
        <v>5.2999999999999999E-2</v>
      </c>
      <c r="J47" s="231"/>
      <c r="K47" s="232" t="s">
        <v>150</v>
      </c>
      <c r="L47" s="232" t="str">
        <f t="shared" ref="L47:L52" si="6">K47</f>
        <v>USD900.000.000</v>
      </c>
      <c r="M47" s="233"/>
    </row>
    <row r="48" spans="1:15" s="234" customFormat="1" x14ac:dyDescent="0.2">
      <c r="A48" s="188"/>
      <c r="B48" s="188"/>
      <c r="C48" s="235"/>
      <c r="D48" s="183"/>
      <c r="E48" s="184"/>
      <c r="F48" s="236"/>
      <c r="G48" s="236"/>
      <c r="H48" s="236"/>
      <c r="I48" s="186"/>
      <c r="J48" s="186"/>
      <c r="K48" s="237">
        <f>16265*900</f>
        <v>14638500</v>
      </c>
      <c r="L48" s="237">
        <f t="shared" si="6"/>
        <v>14638500</v>
      </c>
      <c r="M48" s="238"/>
    </row>
    <row r="49" spans="1:13" s="234" customFormat="1" x14ac:dyDescent="0.2">
      <c r="A49" s="188"/>
      <c r="B49" s="184">
        <v>45672</v>
      </c>
      <c r="C49" s="235"/>
      <c r="D49" s="183" t="s">
        <v>171</v>
      </c>
      <c r="E49" s="184">
        <v>49324</v>
      </c>
      <c r="F49" s="236">
        <v>5.6000000000000001E-2</v>
      </c>
      <c r="G49" s="236"/>
      <c r="H49" s="236"/>
      <c r="I49" s="186">
        <v>5.6500000000000002E-2</v>
      </c>
      <c r="J49" s="186"/>
      <c r="K49" s="237" t="s">
        <v>148</v>
      </c>
      <c r="L49" s="237" t="str">
        <f t="shared" si="6"/>
        <v>USD1.100.000.000</v>
      </c>
      <c r="M49" s="238"/>
    </row>
    <row r="50" spans="1:13" s="234" customFormat="1" x14ac:dyDescent="0.2">
      <c r="A50" s="188"/>
      <c r="B50" s="188"/>
      <c r="C50" s="235"/>
      <c r="D50" s="183"/>
      <c r="E50" s="184"/>
      <c r="F50" s="236"/>
      <c r="G50" s="236"/>
      <c r="H50" s="236"/>
      <c r="I50" s="186"/>
      <c r="J50" s="186"/>
      <c r="K50" s="237">
        <f>16265*1100</f>
        <v>17891500</v>
      </c>
      <c r="L50" s="237">
        <f t="shared" si="6"/>
        <v>17891500</v>
      </c>
      <c r="M50" s="238"/>
    </row>
    <row r="51" spans="1:13" s="234" customFormat="1" x14ac:dyDescent="0.2">
      <c r="A51" s="188"/>
      <c r="B51" s="184">
        <v>45672</v>
      </c>
      <c r="C51" s="235"/>
      <c r="D51" s="183" t="s">
        <v>172</v>
      </c>
      <c r="E51" s="184">
        <v>48594</v>
      </c>
      <c r="F51" s="236">
        <v>3.875E-2</v>
      </c>
      <c r="G51" s="236"/>
      <c r="H51" s="236"/>
      <c r="I51" s="186">
        <v>3.9170000000000003E-2</v>
      </c>
      <c r="J51" s="186"/>
      <c r="K51" s="237" t="s">
        <v>174</v>
      </c>
      <c r="L51" s="237" t="str">
        <f t="shared" si="6"/>
        <v>EUR700.000.000</v>
      </c>
      <c r="M51" s="238"/>
    </row>
    <row r="52" spans="1:13" s="234" customFormat="1" x14ac:dyDescent="0.2">
      <c r="A52" s="190"/>
      <c r="B52" s="188"/>
      <c r="C52" s="235"/>
      <c r="D52" s="183"/>
      <c r="E52" s="246"/>
      <c r="F52" s="236"/>
      <c r="G52" s="249"/>
      <c r="H52" s="236"/>
      <c r="I52" s="194"/>
      <c r="J52" s="186"/>
      <c r="K52" s="247">
        <f>16678.94*700</f>
        <v>11675258</v>
      </c>
      <c r="L52" s="237">
        <f t="shared" si="6"/>
        <v>11675258</v>
      </c>
      <c r="M52" s="248"/>
    </row>
    <row r="53" spans="1:13" s="234" customFormat="1" x14ac:dyDescent="0.2">
      <c r="A53" s="188"/>
      <c r="B53" s="184">
        <v>45672</v>
      </c>
      <c r="C53" s="235"/>
      <c r="D53" s="183" t="s">
        <v>173</v>
      </c>
      <c r="E53" s="184">
        <v>50055</v>
      </c>
      <c r="F53" s="236">
        <v>4.1250000000000002E-2</v>
      </c>
      <c r="G53" s="236"/>
      <c r="H53" s="236"/>
      <c r="I53" s="186">
        <v>4.2509999999999999E-2</v>
      </c>
      <c r="J53" s="186"/>
      <c r="K53" s="237" t="s">
        <v>174</v>
      </c>
      <c r="L53" s="237" t="str">
        <f t="shared" ref="L53:L54" si="7">K53</f>
        <v>EUR700.000.000</v>
      </c>
      <c r="M53" s="238"/>
    </row>
    <row r="54" spans="1:13" s="234" customFormat="1" x14ac:dyDescent="0.2">
      <c r="A54" s="199"/>
      <c r="B54" s="199"/>
      <c r="C54" s="239"/>
      <c r="D54" s="240"/>
      <c r="E54" s="241"/>
      <c r="F54" s="242"/>
      <c r="G54" s="242"/>
      <c r="H54" s="242"/>
      <c r="I54" s="243"/>
      <c r="J54" s="243"/>
      <c r="K54" s="244">
        <f>16678.94*700</f>
        <v>11675258</v>
      </c>
      <c r="L54" s="244">
        <f t="shared" si="7"/>
        <v>11675258</v>
      </c>
      <c r="M54" s="245"/>
    </row>
    <row r="55" spans="1:13" s="1" customFormat="1" ht="12.75" customHeight="1" outlineLevel="1" x14ac:dyDescent="0.2">
      <c r="A55" s="263" t="s">
        <v>121</v>
      </c>
      <c r="B55" s="264"/>
      <c r="C55" s="265"/>
      <c r="D55" s="265"/>
      <c r="E55" s="265"/>
      <c r="F55" s="265"/>
      <c r="G55" s="265"/>
      <c r="H55" s="265"/>
      <c r="I55" s="265"/>
      <c r="J55" s="266"/>
      <c r="K55" s="189">
        <f>K48+K50+K52+K54</f>
        <v>55880516</v>
      </c>
      <c r="L55" s="189">
        <f>L48+L50+L52+L54</f>
        <v>55880516</v>
      </c>
      <c r="M55" s="192"/>
    </row>
    <row r="56" spans="1:13" s="1" customFormat="1" ht="12.75" customHeight="1" outlineLevel="1" x14ac:dyDescent="0.2">
      <c r="A56" s="164">
        <v>45671</v>
      </c>
      <c r="B56" s="164">
        <v>45673</v>
      </c>
      <c r="C56" s="160" t="s">
        <v>136</v>
      </c>
      <c r="D56" s="172" t="s">
        <v>167</v>
      </c>
      <c r="E56" s="158">
        <v>45845</v>
      </c>
      <c r="F56" s="166" t="s">
        <v>128</v>
      </c>
      <c r="G56" s="166">
        <v>6.5000000000000002E-2</v>
      </c>
      <c r="H56" s="166">
        <v>7.2999999999999995E-2</v>
      </c>
      <c r="I56" s="178">
        <v>6.5000000000000002E-2</v>
      </c>
      <c r="J56" s="178">
        <v>6.5000000000000002E-2</v>
      </c>
      <c r="K56" s="174">
        <v>1095000</v>
      </c>
      <c r="L56" s="174">
        <v>1000000</v>
      </c>
      <c r="M56" s="204">
        <f t="shared" ref="M56:M62" si="8">IF(L56=0,0,K56/L56)</f>
        <v>1.095</v>
      </c>
    </row>
    <row r="57" spans="1:13" s="1" customFormat="1" ht="12.75" customHeight="1" outlineLevel="1" x14ac:dyDescent="0.2">
      <c r="A57" s="164"/>
      <c r="B57" s="164"/>
      <c r="C57" s="160"/>
      <c r="D57" s="172" t="s">
        <v>168</v>
      </c>
      <c r="E57" s="158">
        <v>45943</v>
      </c>
      <c r="F57" s="166" t="s">
        <v>128</v>
      </c>
      <c r="G57" s="166">
        <v>6.6000000000000003E-2</v>
      </c>
      <c r="H57" s="166">
        <v>7.3999999999999996E-2</v>
      </c>
      <c r="I57" s="178">
        <v>6.6000000000000003E-2</v>
      </c>
      <c r="J57" s="179">
        <v>6.6000000000000003E-2</v>
      </c>
      <c r="K57" s="174">
        <v>2565000</v>
      </c>
      <c r="L57" s="174">
        <v>1750000</v>
      </c>
      <c r="M57" s="205">
        <f t="shared" si="8"/>
        <v>1.4657142857142857</v>
      </c>
    </row>
    <row r="58" spans="1:13" s="1" customFormat="1" ht="12.75" customHeight="1" outlineLevel="1" x14ac:dyDescent="0.2">
      <c r="A58" s="164"/>
      <c r="B58" s="158"/>
      <c r="C58" s="160"/>
      <c r="D58" s="172" t="s">
        <v>50</v>
      </c>
      <c r="E58" s="158">
        <v>46402</v>
      </c>
      <c r="F58" s="166">
        <v>0.06</v>
      </c>
      <c r="G58" s="166">
        <v>6.9000000000000006E-2</v>
      </c>
      <c r="H58" s="166">
        <v>7.2400000000000006E-2</v>
      </c>
      <c r="I58" s="175">
        <v>7.0875499999999994E-2</v>
      </c>
      <c r="J58" s="179">
        <v>7.1499999999999994E-2</v>
      </c>
      <c r="K58" s="174">
        <v>4860000</v>
      </c>
      <c r="L58" s="174">
        <v>3850000</v>
      </c>
      <c r="M58" s="204">
        <f t="shared" si="8"/>
        <v>1.2623376623376623</v>
      </c>
    </row>
    <row r="59" spans="1:13" s="1" customFormat="1" ht="12.75" customHeight="1" outlineLevel="1" x14ac:dyDescent="0.2">
      <c r="A59" s="156"/>
      <c r="B59" s="156"/>
      <c r="C59" s="156"/>
      <c r="D59" s="2" t="s">
        <v>139</v>
      </c>
      <c r="E59" s="158">
        <v>46949</v>
      </c>
      <c r="F59" s="177">
        <v>5.8749999999999997E-2</v>
      </c>
      <c r="G59" s="166">
        <v>7.0300000000000001E-2</v>
      </c>
      <c r="H59" s="166">
        <v>7.1999999999999995E-2</v>
      </c>
      <c r="I59" s="175">
        <v>7.1291099999999996E-2</v>
      </c>
      <c r="J59" s="166">
        <v>7.1499999999999994E-2</v>
      </c>
      <c r="K59" s="174">
        <v>1778700</v>
      </c>
      <c r="L59" s="174">
        <v>600000</v>
      </c>
      <c r="M59" s="205">
        <f t="shared" si="8"/>
        <v>2.9645000000000001</v>
      </c>
    </row>
    <row r="60" spans="1:13" s="1" customFormat="1" ht="12.75" customHeight="1" outlineLevel="1" x14ac:dyDescent="0.2">
      <c r="A60" s="156"/>
      <c r="B60" s="156"/>
      <c r="C60" s="156"/>
      <c r="D60" s="172" t="s">
        <v>141</v>
      </c>
      <c r="E60" s="158">
        <v>50936</v>
      </c>
      <c r="F60" s="166">
        <v>6.5000000000000002E-2</v>
      </c>
      <c r="G60" s="166">
        <v>7.17E-2</v>
      </c>
      <c r="H60" s="166">
        <v>7.3899999999999993E-2</v>
      </c>
      <c r="I60" s="175">
        <v>0</v>
      </c>
      <c r="J60" s="175">
        <v>0</v>
      </c>
      <c r="K60" s="174">
        <v>459500</v>
      </c>
      <c r="L60" s="174">
        <v>0</v>
      </c>
      <c r="M60" s="205">
        <f t="shared" si="8"/>
        <v>0</v>
      </c>
    </row>
    <row r="61" spans="1:13" s="1" customFormat="1" ht="12.75" customHeight="1" outlineLevel="1" x14ac:dyDescent="0.2">
      <c r="A61" s="180"/>
      <c r="B61" s="156"/>
      <c r="C61" s="181"/>
      <c r="D61" s="172" t="s">
        <v>140</v>
      </c>
      <c r="E61" s="158">
        <v>51697</v>
      </c>
      <c r="F61" s="166">
        <v>6.6250000000000003E-2</v>
      </c>
      <c r="G61" s="166">
        <v>7.1599999999999997E-2</v>
      </c>
      <c r="H61" s="166">
        <v>7.3999999999999996E-2</v>
      </c>
      <c r="I61" s="175">
        <v>0</v>
      </c>
      <c r="J61" s="175">
        <v>0</v>
      </c>
      <c r="K61" s="174">
        <v>261500</v>
      </c>
      <c r="L61" s="174">
        <v>0</v>
      </c>
      <c r="M61" s="205">
        <f t="shared" si="8"/>
        <v>0</v>
      </c>
    </row>
    <row r="62" spans="1:13" s="1" customFormat="1" ht="12.75" customHeight="1" outlineLevel="1" x14ac:dyDescent="0.2">
      <c r="A62" s="156"/>
      <c r="B62" s="156"/>
      <c r="C62" s="156"/>
      <c r="D62" s="172" t="s">
        <v>137</v>
      </c>
      <c r="E62" s="158">
        <v>54772</v>
      </c>
      <c r="F62" s="166">
        <v>6.8750000000000006E-2</v>
      </c>
      <c r="G62" s="166">
        <v>7.1400000000000005E-2</v>
      </c>
      <c r="H62" s="166">
        <v>7.4999999999999997E-2</v>
      </c>
      <c r="I62" s="175">
        <v>7.2867699999999994E-2</v>
      </c>
      <c r="J62" s="175">
        <v>7.3300000000000004E-2</v>
      </c>
      <c r="K62" s="174">
        <v>3040000</v>
      </c>
      <c r="L62" s="174">
        <v>2800000</v>
      </c>
      <c r="M62" s="205">
        <f t="shared" si="8"/>
        <v>1.0857142857142856</v>
      </c>
    </row>
    <row r="63" spans="1:13" s="1" customFormat="1" ht="12.75" customHeight="1" outlineLevel="1" x14ac:dyDescent="0.2">
      <c r="A63" s="256" t="s">
        <v>121</v>
      </c>
      <c r="B63" s="257"/>
      <c r="C63" s="257"/>
      <c r="D63" s="257"/>
      <c r="E63" s="257"/>
      <c r="F63" s="257"/>
      <c r="G63" s="257"/>
      <c r="H63" s="257"/>
      <c r="I63" s="257"/>
      <c r="J63" s="258"/>
      <c r="K63" s="176">
        <f>SUM(K56:K62)</f>
        <v>14059700</v>
      </c>
      <c r="L63" s="176">
        <f>SUM(L56:L62)</f>
        <v>10000000</v>
      </c>
      <c r="M63" s="165"/>
    </row>
    <row r="64" spans="1:13" ht="12" customHeight="1" outlineLevel="1" x14ac:dyDescent="0.2">
      <c r="A64" s="197">
        <v>45678</v>
      </c>
      <c r="B64" s="202">
        <v>45680</v>
      </c>
      <c r="C64" s="198" t="s">
        <v>136</v>
      </c>
      <c r="D64" s="183" t="s">
        <v>169</v>
      </c>
      <c r="E64" s="184">
        <v>45770</v>
      </c>
      <c r="F64" s="185" t="s">
        <v>128</v>
      </c>
      <c r="G64" s="201">
        <v>6.5000000000000002E-2</v>
      </c>
      <c r="H64" s="201">
        <v>6.6000000000000003E-2</v>
      </c>
      <c r="I64" s="193" t="s">
        <v>130</v>
      </c>
      <c r="J64" s="193" t="s">
        <v>130</v>
      </c>
      <c r="K64" s="210">
        <v>2510000</v>
      </c>
      <c r="L64" s="210">
        <v>0</v>
      </c>
      <c r="M64" s="187">
        <f t="shared" ref="M64:M71" si="9">IF(L64=0,0,K64/L64)</f>
        <v>0</v>
      </c>
    </row>
    <row r="65" spans="1:13" ht="12" customHeight="1" outlineLevel="1" x14ac:dyDescent="0.2">
      <c r="A65" s="197"/>
      <c r="B65" s="182"/>
      <c r="C65" s="198"/>
      <c r="D65" s="183" t="s">
        <v>164</v>
      </c>
      <c r="E65" s="184">
        <v>46030</v>
      </c>
      <c r="F65" s="185" t="s">
        <v>128</v>
      </c>
      <c r="G65" s="185">
        <v>6.4500000000000002E-2</v>
      </c>
      <c r="H65" s="185">
        <v>6.5000000000000002E-2</v>
      </c>
      <c r="I65" s="212">
        <v>6.4500000000000002E-2</v>
      </c>
      <c r="J65" s="201">
        <v>6.4500000000000002E-2</v>
      </c>
      <c r="K65" s="213">
        <v>2792000</v>
      </c>
      <c r="L65" s="213">
        <v>2750000</v>
      </c>
      <c r="M65" s="187">
        <f t="shared" si="9"/>
        <v>1.0152727272727273</v>
      </c>
    </row>
    <row r="66" spans="1:13" ht="12.75" customHeight="1" outlineLevel="1" x14ac:dyDescent="0.2">
      <c r="A66" s="197"/>
      <c r="B66" s="184"/>
      <c r="C66" s="198"/>
      <c r="D66" s="183" t="s">
        <v>154</v>
      </c>
      <c r="E66" s="184">
        <v>47679</v>
      </c>
      <c r="F66" s="185">
        <v>6.5000000000000002E-2</v>
      </c>
      <c r="G66" s="185">
        <v>6.8500000000000005E-2</v>
      </c>
      <c r="H66" s="185">
        <v>7.0999999999999994E-2</v>
      </c>
      <c r="I66" s="212">
        <v>6.9115499999999996E-2</v>
      </c>
      <c r="J66" s="186">
        <v>6.93E-2</v>
      </c>
      <c r="K66" s="210">
        <v>20346600</v>
      </c>
      <c r="L66" s="210">
        <v>8900000</v>
      </c>
      <c r="M66" s="187">
        <f t="shared" si="9"/>
        <v>2.2861348314606742</v>
      </c>
    </row>
    <row r="67" spans="1:13" ht="12.75" customHeight="1" outlineLevel="1" x14ac:dyDescent="0.2">
      <c r="A67" s="190"/>
      <c r="B67" s="188"/>
      <c r="C67" s="191"/>
      <c r="D67" s="183" t="s">
        <v>155</v>
      </c>
      <c r="E67" s="184">
        <v>49505</v>
      </c>
      <c r="F67" s="185">
        <v>6.7500000000000004E-2</v>
      </c>
      <c r="G67" s="185">
        <v>7.0900000000000005E-2</v>
      </c>
      <c r="H67" s="185">
        <v>7.2900000000000006E-2</v>
      </c>
      <c r="I67" s="186">
        <v>7.1198999999999998E-2</v>
      </c>
      <c r="J67" s="196">
        <v>7.1400000000000005E-2</v>
      </c>
      <c r="K67" s="210">
        <v>15039400</v>
      </c>
      <c r="L67" s="210">
        <v>7800000</v>
      </c>
      <c r="M67" s="187">
        <f t="shared" si="9"/>
        <v>1.9281282051282052</v>
      </c>
    </row>
    <row r="68" spans="1:13" ht="12.75" customHeight="1" outlineLevel="1" x14ac:dyDescent="0.2">
      <c r="A68" s="190"/>
      <c r="B68" s="188"/>
      <c r="C68" s="191"/>
      <c r="D68" s="183" t="s">
        <v>165</v>
      </c>
      <c r="E68" s="184">
        <v>51363</v>
      </c>
      <c r="F68" s="185">
        <v>7.1249999999999994E-2</v>
      </c>
      <c r="G68" s="185">
        <v>7.2300000000000003E-2</v>
      </c>
      <c r="H68" s="185">
        <v>7.3999999999999996E-2</v>
      </c>
      <c r="I68" s="195">
        <v>7.2998599999999997E-2</v>
      </c>
      <c r="J68" s="196">
        <v>7.3200000000000001E-2</v>
      </c>
      <c r="K68" s="210">
        <v>5968500</v>
      </c>
      <c r="L68" s="210">
        <v>3800000</v>
      </c>
      <c r="M68" s="187">
        <f t="shared" si="9"/>
        <v>1.5706578947368421</v>
      </c>
    </row>
    <row r="69" spans="1:13" ht="12.75" customHeight="1" outlineLevel="1" x14ac:dyDescent="0.2">
      <c r="A69" s="190"/>
      <c r="B69" s="188"/>
      <c r="C69" s="191"/>
      <c r="D69" s="183" t="s">
        <v>166</v>
      </c>
      <c r="E69" s="184">
        <v>53189</v>
      </c>
      <c r="F69" s="185">
        <v>7.1249999999999994E-2</v>
      </c>
      <c r="G69" s="185">
        <v>7.2300000000000003E-2</v>
      </c>
      <c r="H69" s="185">
        <v>7.3800000000000004E-2</v>
      </c>
      <c r="I69" s="186">
        <v>7.2898299999999999E-2</v>
      </c>
      <c r="J69" s="194">
        <v>7.3099999999999998E-2</v>
      </c>
      <c r="K69" s="214">
        <v>5512900</v>
      </c>
      <c r="L69" s="214">
        <v>2300000</v>
      </c>
      <c r="M69" s="187">
        <f t="shared" si="9"/>
        <v>2.3969130434782611</v>
      </c>
    </row>
    <row r="70" spans="1:13" ht="12.75" customHeight="1" outlineLevel="1" x14ac:dyDescent="0.2">
      <c r="A70" s="190"/>
      <c r="B70" s="188"/>
      <c r="C70" s="191"/>
      <c r="D70" s="183" t="s">
        <v>158</v>
      </c>
      <c r="E70" s="184">
        <v>56445</v>
      </c>
      <c r="F70" s="185">
        <v>6.8750000000000006E-2</v>
      </c>
      <c r="G70" s="185">
        <v>7.17E-2</v>
      </c>
      <c r="H70" s="185">
        <v>7.3899999999999993E-2</v>
      </c>
      <c r="I70" s="186">
        <v>7.2315199999999996E-2</v>
      </c>
      <c r="J70" s="194">
        <v>7.2499999999999995E-2</v>
      </c>
      <c r="K70" s="214">
        <v>359500</v>
      </c>
      <c r="L70" s="214">
        <v>150000</v>
      </c>
      <c r="M70" s="187">
        <f t="shared" si="9"/>
        <v>2.3966666666666665</v>
      </c>
    </row>
    <row r="71" spans="1:13" ht="12.75" customHeight="1" outlineLevel="1" x14ac:dyDescent="0.2">
      <c r="A71" s="190"/>
      <c r="B71" s="199"/>
      <c r="C71" s="191"/>
      <c r="D71" s="183" t="s">
        <v>159</v>
      </c>
      <c r="E71" s="184">
        <v>60098</v>
      </c>
      <c r="F71" s="185">
        <v>6.8750000000000006E-2</v>
      </c>
      <c r="G71" s="185">
        <v>7.1900000000000006E-2</v>
      </c>
      <c r="H71" s="185">
        <v>7.3999999999999996E-2</v>
      </c>
      <c r="I71" s="196">
        <v>7.2268100000000002E-2</v>
      </c>
      <c r="J71" s="195">
        <v>7.2499999999999995E-2</v>
      </c>
      <c r="K71" s="214">
        <v>1936500</v>
      </c>
      <c r="L71" s="214">
        <v>300000</v>
      </c>
      <c r="M71" s="200">
        <f t="shared" si="9"/>
        <v>6.4550000000000001</v>
      </c>
    </row>
    <row r="72" spans="1:13" s="1" customFormat="1" ht="12.75" customHeight="1" outlineLevel="1" x14ac:dyDescent="0.2">
      <c r="A72" s="263" t="s">
        <v>121</v>
      </c>
      <c r="B72" s="264"/>
      <c r="C72" s="265"/>
      <c r="D72" s="265"/>
      <c r="E72" s="265"/>
      <c r="F72" s="265"/>
      <c r="G72" s="265"/>
      <c r="H72" s="265"/>
      <c r="I72" s="265"/>
      <c r="J72" s="266"/>
      <c r="K72" s="189">
        <f>SUM(K64:K71)</f>
        <v>54465400</v>
      </c>
      <c r="L72" s="189">
        <f>SUM(L64:L71)</f>
        <v>26000000</v>
      </c>
      <c r="M72" s="192"/>
    </row>
    <row r="73" spans="1:13" ht="12.75" customHeight="1" x14ac:dyDescent="0.2">
      <c r="A73" s="259" t="s">
        <v>153</v>
      </c>
      <c r="B73" s="260"/>
      <c r="C73" s="260"/>
      <c r="D73" s="260"/>
      <c r="E73" s="260"/>
      <c r="F73" s="260"/>
      <c r="G73" s="260"/>
      <c r="H73" s="260"/>
      <c r="I73" s="260"/>
      <c r="J73" s="261"/>
      <c r="K73" s="173">
        <f>K10+K18+K27+K35+K37+K46+K63+K72+K55</f>
        <v>268265066</v>
      </c>
      <c r="L73" s="173">
        <f>L10+L18+L27+L35+L37+L46+L63+L72+L55</f>
        <v>203935766</v>
      </c>
      <c r="M73" s="165"/>
    </row>
    <row r="74" spans="1:13" ht="12.75" customHeight="1" x14ac:dyDescent="0.2">
      <c r="A74" s="259" t="s">
        <v>175</v>
      </c>
      <c r="B74" s="260"/>
      <c r="C74" s="260"/>
      <c r="D74" s="260"/>
      <c r="E74" s="260"/>
      <c r="F74" s="260"/>
      <c r="G74" s="260"/>
      <c r="H74" s="260"/>
      <c r="I74" s="260"/>
      <c r="J74" s="261"/>
      <c r="K74" s="173">
        <f>K73</f>
        <v>268265066</v>
      </c>
      <c r="L74" s="173">
        <f>L73</f>
        <v>203935766</v>
      </c>
      <c r="M74" s="165"/>
    </row>
    <row r="75" spans="1:13" ht="12" x14ac:dyDescent="0.2">
      <c r="A75" s="164">
        <v>45687</v>
      </c>
      <c r="B75" s="164">
        <v>45691</v>
      </c>
      <c r="C75" s="160" t="s">
        <v>136</v>
      </c>
      <c r="D75" s="172" t="s">
        <v>167</v>
      </c>
      <c r="E75" s="158">
        <v>45845</v>
      </c>
      <c r="F75" s="166" t="s">
        <v>128</v>
      </c>
      <c r="G75" s="166">
        <v>6.3299999999999995E-2</v>
      </c>
      <c r="H75" s="166">
        <v>6.3299999999999995E-2</v>
      </c>
      <c r="I75" s="178">
        <v>6.3299999999999995E-2</v>
      </c>
      <c r="J75" s="178">
        <v>6.3299999999999995E-2</v>
      </c>
      <c r="K75" s="174">
        <v>2078000</v>
      </c>
      <c r="L75" s="174">
        <v>2050000</v>
      </c>
      <c r="M75" s="204">
        <f t="shared" ref="M75:M81" si="10">IF(L75=0,0,K75/L75)</f>
        <v>1.0136585365853659</v>
      </c>
    </row>
    <row r="76" spans="1:13" ht="12" x14ac:dyDescent="0.2">
      <c r="A76" s="164"/>
      <c r="B76" s="164"/>
      <c r="C76" s="160"/>
      <c r="D76" s="172" t="s">
        <v>168</v>
      </c>
      <c r="E76" s="158">
        <v>45943</v>
      </c>
      <c r="F76" s="166" t="s">
        <v>128</v>
      </c>
      <c r="G76" s="166">
        <v>6.3500000000000001E-2</v>
      </c>
      <c r="H76" s="166">
        <v>6.3500000000000001E-2</v>
      </c>
      <c r="I76" s="178">
        <v>6.3500000000000001E-2</v>
      </c>
      <c r="J76" s="179">
        <v>6.3500000000000001E-2</v>
      </c>
      <c r="K76" s="174">
        <v>3140000</v>
      </c>
      <c r="L76" s="174">
        <v>2500000</v>
      </c>
      <c r="M76" s="205">
        <f t="shared" si="10"/>
        <v>1.256</v>
      </c>
    </row>
    <row r="77" spans="1:13" ht="12" x14ac:dyDescent="0.2">
      <c r="A77" s="164"/>
      <c r="B77" s="158"/>
      <c r="C77" s="160"/>
      <c r="D77" s="172" t="s">
        <v>50</v>
      </c>
      <c r="E77" s="158">
        <v>46402</v>
      </c>
      <c r="F77" s="166">
        <v>0.06</v>
      </c>
      <c r="G77" s="166">
        <v>6.8000000000000005E-2</v>
      </c>
      <c r="H77" s="166">
        <v>7.1499999999999994E-2</v>
      </c>
      <c r="I77" s="175">
        <v>6.8499299999999999E-2</v>
      </c>
      <c r="J77" s="179">
        <v>6.8599999999999994E-2</v>
      </c>
      <c r="K77" s="174">
        <v>5038500</v>
      </c>
      <c r="L77" s="174">
        <v>1600000</v>
      </c>
      <c r="M77" s="204">
        <f t="shared" si="10"/>
        <v>3.1490624999999999</v>
      </c>
    </row>
    <row r="78" spans="1:13" ht="12" x14ac:dyDescent="0.2">
      <c r="A78" s="156"/>
      <c r="B78" s="156"/>
      <c r="C78" s="156"/>
      <c r="D78" s="2" t="s">
        <v>139</v>
      </c>
      <c r="E78" s="158">
        <v>46949</v>
      </c>
      <c r="F78" s="177">
        <v>5.8749999999999997E-2</v>
      </c>
      <c r="G78" s="166">
        <v>6.8199999999999997E-2</v>
      </c>
      <c r="H78" s="166">
        <v>7.0300000000000001E-2</v>
      </c>
      <c r="I78" s="175">
        <v>6.8895300000000007E-2</v>
      </c>
      <c r="J78" s="166">
        <v>6.9500000000000006E-2</v>
      </c>
      <c r="K78" s="174">
        <v>3262000</v>
      </c>
      <c r="L78" s="174">
        <v>3100000</v>
      </c>
      <c r="M78" s="205">
        <f t="shared" si="10"/>
        <v>1.052258064516129</v>
      </c>
    </row>
    <row r="79" spans="1:13" ht="12" x14ac:dyDescent="0.2">
      <c r="A79" s="156"/>
      <c r="B79" s="156"/>
      <c r="C79" s="156"/>
      <c r="D79" s="172" t="s">
        <v>177</v>
      </c>
      <c r="E79" s="158">
        <v>47376</v>
      </c>
      <c r="F79" s="166">
        <v>6.6250000000000003E-2</v>
      </c>
      <c r="G79" s="166">
        <v>6.7900000000000002E-2</v>
      </c>
      <c r="H79" s="166">
        <v>7.0999999999999994E-2</v>
      </c>
      <c r="I79" s="175">
        <v>6.7977700000000002E-2</v>
      </c>
      <c r="J79" s="175">
        <v>6.8000000000000005E-2</v>
      </c>
      <c r="K79" s="174">
        <v>1126000</v>
      </c>
      <c r="L79" s="174">
        <v>300000</v>
      </c>
      <c r="M79" s="205">
        <f t="shared" si="10"/>
        <v>3.7533333333333334</v>
      </c>
    </row>
    <row r="80" spans="1:13" ht="12" x14ac:dyDescent="0.2">
      <c r="A80" s="180"/>
      <c r="B80" s="156"/>
      <c r="C80" s="181"/>
      <c r="D80" s="172" t="s">
        <v>141</v>
      </c>
      <c r="E80" s="158">
        <v>50936</v>
      </c>
      <c r="F80" s="166">
        <v>6.5000000000000002E-2</v>
      </c>
      <c r="G80" s="166">
        <v>6.9400000000000003E-2</v>
      </c>
      <c r="H80" s="166">
        <v>7.2400000000000006E-2</v>
      </c>
      <c r="I80" s="175">
        <v>6.9828600000000005E-2</v>
      </c>
      <c r="J80" s="175">
        <v>7.0499999999999993E-2</v>
      </c>
      <c r="K80" s="174">
        <v>619500</v>
      </c>
      <c r="L80" s="174">
        <v>100000</v>
      </c>
      <c r="M80" s="205">
        <f t="shared" si="10"/>
        <v>6.1950000000000003</v>
      </c>
    </row>
    <row r="81" spans="1:13" ht="12" x14ac:dyDescent="0.2">
      <c r="A81" s="156"/>
      <c r="B81" s="156"/>
      <c r="C81" s="156"/>
      <c r="D81" s="172" t="s">
        <v>137</v>
      </c>
      <c r="E81" s="158">
        <v>54772</v>
      </c>
      <c r="F81" s="166">
        <v>6.8750000000000006E-2</v>
      </c>
      <c r="G81" s="166">
        <v>7.1900000000000006E-2</v>
      </c>
      <c r="H81" s="166">
        <v>7.3400000000000007E-2</v>
      </c>
      <c r="I81" s="175">
        <v>7.2069400000000006E-2</v>
      </c>
      <c r="J81" s="175">
        <v>7.2099999999999997E-2</v>
      </c>
      <c r="K81" s="174">
        <v>5256500</v>
      </c>
      <c r="L81" s="174">
        <v>350000</v>
      </c>
      <c r="M81" s="205">
        <f t="shared" si="10"/>
        <v>15.018571428571429</v>
      </c>
    </row>
    <row r="82" spans="1:13" x14ac:dyDescent="0.2">
      <c r="A82" s="256" t="s">
        <v>121</v>
      </c>
      <c r="B82" s="257"/>
      <c r="C82" s="257"/>
      <c r="D82" s="257"/>
      <c r="E82" s="257"/>
      <c r="F82" s="257"/>
      <c r="G82" s="257"/>
      <c r="H82" s="257"/>
      <c r="I82" s="257"/>
      <c r="J82" s="258"/>
      <c r="K82" s="176">
        <f>SUM(K75:K81)</f>
        <v>20520500</v>
      </c>
      <c r="L82" s="176">
        <f>SUM(L75:L81)</f>
        <v>10000000</v>
      </c>
      <c r="M82" s="165"/>
    </row>
    <row r="83" spans="1:13" ht="12" customHeight="1" outlineLevel="1" x14ac:dyDescent="0.2">
      <c r="A83" s="197">
        <v>45692</v>
      </c>
      <c r="B83" s="202">
        <v>45694</v>
      </c>
      <c r="C83" s="198" t="s">
        <v>136</v>
      </c>
      <c r="D83" s="183" t="s">
        <v>178</v>
      </c>
      <c r="E83" s="184">
        <v>45784</v>
      </c>
      <c r="F83" s="185" t="s">
        <v>128</v>
      </c>
      <c r="G83" s="201">
        <v>0</v>
      </c>
      <c r="H83" s="201">
        <v>0</v>
      </c>
      <c r="I83" s="193" t="s">
        <v>130</v>
      </c>
      <c r="J83" s="193" t="s">
        <v>130</v>
      </c>
      <c r="K83" s="210">
        <v>1000000</v>
      </c>
      <c r="L83" s="210">
        <v>0</v>
      </c>
      <c r="M83" s="187">
        <f t="shared" ref="M83:M90" si="11">IF(L83=0,0,K83/L83)</f>
        <v>0</v>
      </c>
    </row>
    <row r="84" spans="1:13" ht="12" customHeight="1" outlineLevel="1" x14ac:dyDescent="0.2">
      <c r="A84" s="197"/>
      <c r="B84" s="182"/>
      <c r="C84" s="198"/>
      <c r="D84" s="183" t="s">
        <v>179</v>
      </c>
      <c r="E84" s="184">
        <v>46058</v>
      </c>
      <c r="F84" s="185" t="s">
        <v>128</v>
      </c>
      <c r="G84" s="185">
        <v>6.4000000000000001E-2</v>
      </c>
      <c r="H84" s="185">
        <v>6.5799999999999997E-2</v>
      </c>
      <c r="I84" s="212">
        <v>6.4000000000000001E-2</v>
      </c>
      <c r="J84" s="201">
        <v>6.4000000000000001E-2</v>
      </c>
      <c r="K84" s="213">
        <v>4924300</v>
      </c>
      <c r="L84" s="213">
        <v>2000000</v>
      </c>
      <c r="M84" s="187">
        <f t="shared" si="11"/>
        <v>2.4621499999999998</v>
      </c>
    </row>
    <row r="85" spans="1:13" ht="12.75" customHeight="1" outlineLevel="1" x14ac:dyDescent="0.2">
      <c r="A85" s="197"/>
      <c r="B85" s="184"/>
      <c r="C85" s="198"/>
      <c r="D85" s="183" t="s">
        <v>154</v>
      </c>
      <c r="E85" s="184">
        <v>47679</v>
      </c>
      <c r="F85" s="185">
        <v>6.5000000000000002E-2</v>
      </c>
      <c r="G85" s="185">
        <v>6.8400000000000002E-2</v>
      </c>
      <c r="H85" s="185">
        <v>7.0999999999999994E-2</v>
      </c>
      <c r="I85" s="212">
        <v>6.8595100000000006E-2</v>
      </c>
      <c r="J85" s="186">
        <v>6.8699999999999997E-2</v>
      </c>
      <c r="K85" s="210">
        <v>31307500</v>
      </c>
      <c r="L85" s="210">
        <v>10450000</v>
      </c>
      <c r="M85" s="187">
        <f t="shared" si="11"/>
        <v>2.9959330143540668</v>
      </c>
    </row>
    <row r="86" spans="1:13" ht="12.75" customHeight="1" outlineLevel="1" x14ac:dyDescent="0.2">
      <c r="A86" s="190"/>
      <c r="B86" s="188"/>
      <c r="C86" s="191"/>
      <c r="D86" s="183" t="s">
        <v>155</v>
      </c>
      <c r="E86" s="184">
        <v>49505</v>
      </c>
      <c r="F86" s="185">
        <v>6.7500000000000004E-2</v>
      </c>
      <c r="G86" s="185">
        <v>7.0300000000000001E-2</v>
      </c>
      <c r="H86" s="185">
        <v>7.1999999999999995E-2</v>
      </c>
      <c r="I86" s="186">
        <v>7.0547700000000005E-2</v>
      </c>
      <c r="J86" s="196">
        <v>7.0599999999999996E-2</v>
      </c>
      <c r="K86" s="210">
        <v>19318800</v>
      </c>
      <c r="L86" s="210">
        <v>6750000</v>
      </c>
      <c r="M86" s="187">
        <f t="shared" si="11"/>
        <v>2.8620444444444444</v>
      </c>
    </row>
    <row r="87" spans="1:13" ht="12.75" customHeight="1" outlineLevel="1" x14ac:dyDescent="0.2">
      <c r="A87" s="190"/>
      <c r="B87" s="188"/>
      <c r="C87" s="191"/>
      <c r="D87" s="183" t="s">
        <v>165</v>
      </c>
      <c r="E87" s="184">
        <v>51363</v>
      </c>
      <c r="F87" s="185">
        <v>7.1249999999999994E-2</v>
      </c>
      <c r="G87" s="185">
        <v>7.1999999999999995E-2</v>
      </c>
      <c r="H87" s="185">
        <v>7.3599999999999999E-2</v>
      </c>
      <c r="I87" s="195">
        <v>7.26995E-2</v>
      </c>
      <c r="J87" s="196">
        <v>7.2800000000000004E-2</v>
      </c>
      <c r="K87" s="210">
        <v>11155900</v>
      </c>
      <c r="L87" s="210">
        <v>3950000</v>
      </c>
      <c r="M87" s="187">
        <f t="shared" si="11"/>
        <v>2.8242784810126582</v>
      </c>
    </row>
    <row r="88" spans="1:13" ht="12.75" customHeight="1" outlineLevel="1" x14ac:dyDescent="0.2">
      <c r="A88" s="190"/>
      <c r="B88" s="188"/>
      <c r="C88" s="191"/>
      <c r="D88" s="183" t="s">
        <v>166</v>
      </c>
      <c r="E88" s="184">
        <v>53189</v>
      </c>
      <c r="F88" s="185">
        <v>7.1249999999999994E-2</v>
      </c>
      <c r="G88" s="185">
        <v>7.2400000000000006E-2</v>
      </c>
      <c r="H88" s="185">
        <v>7.3899999999999993E-2</v>
      </c>
      <c r="I88" s="186">
        <v>7.2800000000000004E-2</v>
      </c>
      <c r="J88" s="194">
        <v>7.2900000000000006E-2</v>
      </c>
      <c r="K88" s="214">
        <v>6395800</v>
      </c>
      <c r="L88" s="214">
        <v>3300000</v>
      </c>
      <c r="M88" s="187">
        <f t="shared" si="11"/>
        <v>1.9381212121212121</v>
      </c>
    </row>
    <row r="89" spans="1:13" ht="12.75" customHeight="1" outlineLevel="1" x14ac:dyDescent="0.2">
      <c r="A89" s="190"/>
      <c r="B89" s="188"/>
      <c r="C89" s="191"/>
      <c r="D89" s="183" t="s">
        <v>158</v>
      </c>
      <c r="E89" s="184">
        <v>56445</v>
      </c>
      <c r="F89" s="185">
        <v>6.8750000000000006E-2</v>
      </c>
      <c r="G89" s="185">
        <v>7.0900000000000005E-2</v>
      </c>
      <c r="H89" s="185">
        <v>7.3700000000000002E-2</v>
      </c>
      <c r="I89" s="186">
        <v>7.1564900000000001E-2</v>
      </c>
      <c r="J89" s="194">
        <v>7.17E-2</v>
      </c>
      <c r="K89" s="214">
        <v>1284000</v>
      </c>
      <c r="L89" s="214">
        <v>250000</v>
      </c>
      <c r="M89" s="187">
        <f t="shared" si="11"/>
        <v>5.1360000000000001</v>
      </c>
    </row>
    <row r="90" spans="1:13" ht="12.75" customHeight="1" outlineLevel="1" x14ac:dyDescent="0.2">
      <c r="A90" s="190"/>
      <c r="B90" s="199"/>
      <c r="C90" s="191"/>
      <c r="D90" s="183" t="s">
        <v>159</v>
      </c>
      <c r="E90" s="184">
        <v>60098</v>
      </c>
      <c r="F90" s="185">
        <v>6.8750000000000006E-2</v>
      </c>
      <c r="G90" s="185">
        <v>7.1900000000000006E-2</v>
      </c>
      <c r="H90" s="185">
        <v>7.4200000000000002E-2</v>
      </c>
      <c r="I90" s="196">
        <v>7.2076600000000005E-2</v>
      </c>
      <c r="J90" s="195">
        <v>7.2300000000000003E-2</v>
      </c>
      <c r="K90" s="214">
        <v>1690700</v>
      </c>
      <c r="L90" s="214">
        <v>1300000</v>
      </c>
      <c r="M90" s="200">
        <f t="shared" si="11"/>
        <v>1.3005384615384616</v>
      </c>
    </row>
    <row r="91" spans="1:13" s="1" customFormat="1" ht="12.75" customHeight="1" outlineLevel="1" x14ac:dyDescent="0.2">
      <c r="A91" s="263" t="s">
        <v>121</v>
      </c>
      <c r="B91" s="264"/>
      <c r="C91" s="265"/>
      <c r="D91" s="265"/>
      <c r="E91" s="265"/>
      <c r="F91" s="265"/>
      <c r="G91" s="265"/>
      <c r="H91" s="265"/>
      <c r="I91" s="265"/>
      <c r="J91" s="266"/>
      <c r="K91" s="189">
        <f>SUM(K83:K90)</f>
        <v>77077000</v>
      </c>
      <c r="L91" s="189">
        <f>SUM(L83:L90)</f>
        <v>28000000</v>
      </c>
      <c r="M91" s="192"/>
    </row>
    <row r="92" spans="1:13" ht="12" x14ac:dyDescent="0.2">
      <c r="A92" s="164">
        <v>45699</v>
      </c>
      <c r="B92" s="164">
        <v>45701</v>
      </c>
      <c r="C92" s="160" t="s">
        <v>136</v>
      </c>
      <c r="D92" s="172" t="s">
        <v>180</v>
      </c>
      <c r="E92" s="158">
        <v>45873</v>
      </c>
      <c r="F92" s="166" t="s">
        <v>128</v>
      </c>
      <c r="G92" s="166">
        <v>6.25E-2</v>
      </c>
      <c r="H92" s="166">
        <v>6.4500000000000002E-2</v>
      </c>
      <c r="I92" s="178">
        <v>0</v>
      </c>
      <c r="J92" s="178">
        <v>0</v>
      </c>
      <c r="K92" s="174">
        <v>1260000</v>
      </c>
      <c r="L92" s="174">
        <v>0</v>
      </c>
      <c r="M92" s="204">
        <f t="shared" ref="M92:M98" si="12">IF(L92=0,0,K92/L92)</f>
        <v>0</v>
      </c>
    </row>
    <row r="93" spans="1:13" ht="12" x14ac:dyDescent="0.2">
      <c r="A93" s="164"/>
      <c r="B93" s="164"/>
      <c r="C93" s="160"/>
      <c r="D93" s="172" t="s">
        <v>181</v>
      </c>
      <c r="E93" s="158">
        <v>45971</v>
      </c>
      <c r="F93" s="166" t="s">
        <v>128</v>
      </c>
      <c r="G93" s="166">
        <v>6.3E-2</v>
      </c>
      <c r="H93" s="166">
        <v>6.5500000000000003E-2</v>
      </c>
      <c r="I93" s="178">
        <v>6.3E-2</v>
      </c>
      <c r="J93" s="179">
        <v>6.3E-2</v>
      </c>
      <c r="K93" s="174">
        <v>4873100</v>
      </c>
      <c r="L93" s="174">
        <v>500000</v>
      </c>
      <c r="M93" s="205">
        <f t="shared" si="12"/>
        <v>9.7462</v>
      </c>
    </row>
    <row r="94" spans="1:13" ht="12" x14ac:dyDescent="0.2">
      <c r="A94" s="164"/>
      <c r="B94" s="158"/>
      <c r="C94" s="160"/>
      <c r="D94" s="172" t="s">
        <v>50</v>
      </c>
      <c r="E94" s="158">
        <v>46402</v>
      </c>
      <c r="F94" s="166">
        <v>0.06</v>
      </c>
      <c r="G94" s="166">
        <v>6.5500000000000003E-2</v>
      </c>
      <c r="H94" s="166">
        <v>6.7500000000000004E-2</v>
      </c>
      <c r="I94" s="175">
        <v>6.5796400000000005E-2</v>
      </c>
      <c r="J94" s="179">
        <v>6.6100000000000006E-2</v>
      </c>
      <c r="K94" s="174">
        <v>9920000</v>
      </c>
      <c r="L94" s="174">
        <v>2550000</v>
      </c>
      <c r="M94" s="204">
        <f t="shared" si="12"/>
        <v>3.8901960784313725</v>
      </c>
    </row>
    <row r="95" spans="1:13" ht="12" x14ac:dyDescent="0.2">
      <c r="A95" s="156"/>
      <c r="B95" s="156"/>
      <c r="C95" s="156"/>
      <c r="D95" s="2" t="s">
        <v>139</v>
      </c>
      <c r="E95" s="158">
        <v>46949</v>
      </c>
      <c r="F95" s="177">
        <v>5.8749999999999997E-2</v>
      </c>
      <c r="G95" s="166">
        <v>6.6000000000000003E-2</v>
      </c>
      <c r="H95" s="166">
        <v>6.8099999999999994E-2</v>
      </c>
      <c r="I95" s="175">
        <v>6.6397999999999999E-2</v>
      </c>
      <c r="J95" s="166">
        <v>6.6600000000000006E-2</v>
      </c>
      <c r="K95" s="174">
        <v>8111000</v>
      </c>
      <c r="L95" s="174">
        <v>3500000</v>
      </c>
      <c r="M95" s="205">
        <f t="shared" si="12"/>
        <v>2.3174285714285716</v>
      </c>
    </row>
    <row r="96" spans="1:13" ht="12" x14ac:dyDescent="0.2">
      <c r="A96" s="156"/>
      <c r="B96" s="156"/>
      <c r="C96" s="156"/>
      <c r="D96" s="172" t="s">
        <v>141</v>
      </c>
      <c r="E96" s="158">
        <v>50936</v>
      </c>
      <c r="F96" s="166">
        <v>6.5000000000000002E-2</v>
      </c>
      <c r="G96" s="166">
        <v>6.9000000000000006E-2</v>
      </c>
      <c r="H96" s="166">
        <v>7.0699999999999999E-2</v>
      </c>
      <c r="I96" s="175">
        <v>0</v>
      </c>
      <c r="J96" s="175">
        <v>0</v>
      </c>
      <c r="K96" s="174">
        <v>573300</v>
      </c>
      <c r="L96" s="174">
        <v>0</v>
      </c>
      <c r="M96" s="205">
        <f t="shared" si="12"/>
        <v>0</v>
      </c>
    </row>
    <row r="97" spans="1:13" ht="12" x14ac:dyDescent="0.2">
      <c r="A97" s="180"/>
      <c r="B97" s="156"/>
      <c r="C97" s="181"/>
      <c r="D97" s="172" t="s">
        <v>140</v>
      </c>
      <c r="E97" s="158">
        <v>51697</v>
      </c>
      <c r="F97" s="166">
        <v>6.6250000000000003E-2</v>
      </c>
      <c r="G97" s="166">
        <v>7.0000000000000007E-2</v>
      </c>
      <c r="H97" s="166">
        <v>7.1400000000000005E-2</v>
      </c>
      <c r="I97" s="175">
        <v>0</v>
      </c>
      <c r="J97" s="175">
        <v>0</v>
      </c>
      <c r="K97" s="174">
        <v>296000</v>
      </c>
      <c r="L97" s="174">
        <v>0</v>
      </c>
      <c r="M97" s="205">
        <f t="shared" si="12"/>
        <v>0</v>
      </c>
    </row>
    <row r="98" spans="1:13" ht="12" x14ac:dyDescent="0.2">
      <c r="A98" s="156"/>
      <c r="B98" s="156"/>
      <c r="C98" s="156"/>
      <c r="D98" s="172" t="s">
        <v>137</v>
      </c>
      <c r="E98" s="158">
        <v>54772</v>
      </c>
      <c r="F98" s="166">
        <v>6.8750000000000006E-2</v>
      </c>
      <c r="G98" s="166">
        <v>7.0499999999999993E-2</v>
      </c>
      <c r="H98" s="166">
        <v>7.1999999999999995E-2</v>
      </c>
      <c r="I98" s="175">
        <v>7.0997299999999999E-2</v>
      </c>
      <c r="J98" s="175">
        <v>7.1199999999999999E-2</v>
      </c>
      <c r="K98" s="174">
        <v>5225200</v>
      </c>
      <c r="L98" s="174">
        <v>3450000</v>
      </c>
      <c r="M98" s="205">
        <f t="shared" si="12"/>
        <v>1.5145507246376813</v>
      </c>
    </row>
    <row r="99" spans="1:13" x14ac:dyDescent="0.2">
      <c r="A99" s="256" t="s">
        <v>121</v>
      </c>
      <c r="B99" s="257"/>
      <c r="C99" s="257"/>
      <c r="D99" s="257"/>
      <c r="E99" s="257"/>
      <c r="F99" s="257"/>
      <c r="G99" s="257"/>
      <c r="H99" s="257"/>
      <c r="I99" s="257"/>
      <c r="J99" s="258"/>
      <c r="K99" s="176">
        <f>SUM(K92:K98)</f>
        <v>30258600</v>
      </c>
      <c r="L99" s="176">
        <f>SUM(L92:L98)</f>
        <v>10000000</v>
      </c>
      <c r="M99" s="165"/>
    </row>
    <row r="100" spans="1:13" ht="12" customHeight="1" outlineLevel="1" x14ac:dyDescent="0.2">
      <c r="A100" s="197">
        <v>45706</v>
      </c>
      <c r="B100" s="202">
        <v>45708</v>
      </c>
      <c r="C100" s="198" t="s">
        <v>136</v>
      </c>
      <c r="D100" s="183" t="s">
        <v>182</v>
      </c>
      <c r="E100" s="184">
        <v>45798</v>
      </c>
      <c r="F100" s="185" t="s">
        <v>128</v>
      </c>
      <c r="G100" s="201">
        <v>6.25E-2</v>
      </c>
      <c r="H100" s="201">
        <v>6.4000000000000001E-2</v>
      </c>
      <c r="I100" s="193" t="s">
        <v>130</v>
      </c>
      <c r="J100" s="193" t="s">
        <v>130</v>
      </c>
      <c r="K100" s="210">
        <v>1570000</v>
      </c>
      <c r="L100" s="210">
        <v>0</v>
      </c>
      <c r="M100" s="187">
        <f t="shared" ref="M100:M107" si="13">IF(L100=0,0,K100/L100)</f>
        <v>0</v>
      </c>
    </row>
    <row r="101" spans="1:13" ht="12" customHeight="1" outlineLevel="1" x14ac:dyDescent="0.2">
      <c r="A101" s="197"/>
      <c r="B101" s="182"/>
      <c r="C101" s="198"/>
      <c r="D101" s="183" t="s">
        <v>179</v>
      </c>
      <c r="E101" s="184">
        <v>46058</v>
      </c>
      <c r="F101" s="185" t="s">
        <v>128</v>
      </c>
      <c r="G101" s="201">
        <v>6.25E-2</v>
      </c>
      <c r="H101" s="201">
        <v>6.4000000000000001E-2</v>
      </c>
      <c r="I101" s="212">
        <v>6.25E-2</v>
      </c>
      <c r="J101" s="201">
        <v>6.25E-2</v>
      </c>
      <c r="K101" s="213">
        <v>5015000</v>
      </c>
      <c r="L101" s="213">
        <v>2000000</v>
      </c>
      <c r="M101" s="187">
        <f t="shared" si="13"/>
        <v>2.5074999999999998</v>
      </c>
    </row>
    <row r="102" spans="1:13" ht="12.75" customHeight="1" outlineLevel="1" x14ac:dyDescent="0.2">
      <c r="A102" s="197"/>
      <c r="B102" s="184"/>
      <c r="C102" s="198"/>
      <c r="D102" s="183" t="s">
        <v>154</v>
      </c>
      <c r="E102" s="184">
        <v>47679</v>
      </c>
      <c r="F102" s="185">
        <v>6.5000000000000002E-2</v>
      </c>
      <c r="G102" s="185">
        <v>6.5000000000000002E-2</v>
      </c>
      <c r="H102" s="185">
        <v>6.7000000000000004E-2</v>
      </c>
      <c r="I102" s="212">
        <v>6.5499799999999997E-2</v>
      </c>
      <c r="J102" s="186">
        <v>6.5600000000000006E-2</v>
      </c>
      <c r="K102" s="210">
        <v>37331000</v>
      </c>
      <c r="L102" s="210">
        <v>8650000</v>
      </c>
      <c r="M102" s="187">
        <f t="shared" si="13"/>
        <v>4.3157225433526012</v>
      </c>
    </row>
    <row r="103" spans="1:13" ht="12.75" customHeight="1" outlineLevel="1" x14ac:dyDescent="0.2">
      <c r="A103" s="190"/>
      <c r="B103" s="188"/>
      <c r="C103" s="191"/>
      <c r="D103" s="183" t="s">
        <v>155</v>
      </c>
      <c r="E103" s="184">
        <v>49505</v>
      </c>
      <c r="F103" s="185">
        <v>6.7500000000000004E-2</v>
      </c>
      <c r="G103" s="185">
        <v>6.7500000000000004E-2</v>
      </c>
      <c r="H103" s="185">
        <v>6.9500000000000006E-2</v>
      </c>
      <c r="I103" s="186">
        <v>6.7843799999999996E-2</v>
      </c>
      <c r="J103" s="196">
        <v>6.8000000000000005E-2</v>
      </c>
      <c r="K103" s="210">
        <v>21331000</v>
      </c>
      <c r="L103" s="210">
        <v>9500000</v>
      </c>
      <c r="M103" s="187">
        <f t="shared" si="13"/>
        <v>2.2453684210526315</v>
      </c>
    </row>
    <row r="104" spans="1:13" ht="12.75" customHeight="1" outlineLevel="1" x14ac:dyDescent="0.2">
      <c r="A104" s="190"/>
      <c r="B104" s="188"/>
      <c r="C104" s="191"/>
      <c r="D104" s="183" t="s">
        <v>165</v>
      </c>
      <c r="E104" s="184">
        <v>51363</v>
      </c>
      <c r="F104" s="185">
        <v>7.1249999999999994E-2</v>
      </c>
      <c r="G104" s="185">
        <v>6.9400000000000003E-2</v>
      </c>
      <c r="H104" s="185">
        <v>7.1300000000000002E-2</v>
      </c>
      <c r="I104" s="195">
        <v>6.9897200000000007E-2</v>
      </c>
      <c r="J104" s="196">
        <v>7.0199999999999999E-2</v>
      </c>
      <c r="K104" s="210">
        <v>8364000</v>
      </c>
      <c r="L104" s="210">
        <v>3800000</v>
      </c>
      <c r="M104" s="187">
        <f t="shared" si="13"/>
        <v>2.2010526315789471</v>
      </c>
    </row>
    <row r="105" spans="1:13" ht="12.75" customHeight="1" outlineLevel="1" x14ac:dyDescent="0.2">
      <c r="A105" s="190"/>
      <c r="B105" s="188"/>
      <c r="C105" s="191"/>
      <c r="D105" s="183" t="s">
        <v>166</v>
      </c>
      <c r="E105" s="184">
        <v>53189</v>
      </c>
      <c r="F105" s="185">
        <v>7.1249999999999994E-2</v>
      </c>
      <c r="G105" s="185">
        <v>6.9699999999999998E-2</v>
      </c>
      <c r="H105" s="185">
        <v>7.1099999999999997E-2</v>
      </c>
      <c r="I105" s="186">
        <v>7.0296600000000001E-2</v>
      </c>
      <c r="J105" s="194">
        <v>7.0499999999999993E-2</v>
      </c>
      <c r="K105" s="214">
        <v>5796300</v>
      </c>
      <c r="L105" s="214">
        <v>2700000</v>
      </c>
      <c r="M105" s="187">
        <f t="shared" si="13"/>
        <v>2.1467777777777779</v>
      </c>
    </row>
    <row r="106" spans="1:13" ht="12.75" customHeight="1" outlineLevel="1" x14ac:dyDescent="0.2">
      <c r="A106" s="190"/>
      <c r="B106" s="188"/>
      <c r="C106" s="191"/>
      <c r="D106" s="183" t="s">
        <v>158</v>
      </c>
      <c r="E106" s="184">
        <v>56445</v>
      </c>
      <c r="F106" s="185">
        <v>6.8750000000000006E-2</v>
      </c>
      <c r="G106" s="185">
        <v>6.9900000000000004E-2</v>
      </c>
      <c r="H106" s="185">
        <v>7.0900000000000005E-2</v>
      </c>
      <c r="I106" s="186">
        <v>7.03907E-2</v>
      </c>
      <c r="J106" s="194">
        <v>7.0599999999999996E-2</v>
      </c>
      <c r="K106" s="214">
        <v>1619400</v>
      </c>
      <c r="L106" s="214">
        <v>650000</v>
      </c>
      <c r="M106" s="187">
        <f t="shared" si="13"/>
        <v>2.4913846153846153</v>
      </c>
    </row>
    <row r="107" spans="1:13" ht="12.75" customHeight="1" outlineLevel="1" x14ac:dyDescent="0.2">
      <c r="A107" s="190"/>
      <c r="B107" s="199"/>
      <c r="C107" s="191"/>
      <c r="D107" s="183" t="s">
        <v>159</v>
      </c>
      <c r="E107" s="184">
        <v>60098</v>
      </c>
      <c r="F107" s="185">
        <v>6.8750000000000006E-2</v>
      </c>
      <c r="G107" s="185">
        <v>7.0300000000000001E-2</v>
      </c>
      <c r="H107" s="185">
        <v>7.2499999999999995E-2</v>
      </c>
      <c r="I107" s="196">
        <v>7.1197999999999997E-2</v>
      </c>
      <c r="J107" s="195">
        <v>7.1400000000000005E-2</v>
      </c>
      <c r="K107" s="214">
        <v>2976300</v>
      </c>
      <c r="L107" s="214">
        <v>2700000</v>
      </c>
      <c r="M107" s="200">
        <f t="shared" si="13"/>
        <v>1.1023333333333334</v>
      </c>
    </row>
    <row r="108" spans="1:13" s="1" customFormat="1" ht="12.75" customHeight="1" outlineLevel="1" x14ac:dyDescent="0.2">
      <c r="A108" s="263" t="s">
        <v>121</v>
      </c>
      <c r="B108" s="264"/>
      <c r="C108" s="265"/>
      <c r="D108" s="265"/>
      <c r="E108" s="265"/>
      <c r="F108" s="265"/>
      <c r="G108" s="265"/>
      <c r="H108" s="265"/>
      <c r="I108" s="265"/>
      <c r="J108" s="266"/>
      <c r="K108" s="189">
        <f>SUM(K100:K107)</f>
        <v>84003000</v>
      </c>
      <c r="L108" s="189">
        <f>SUM(L100:L107)</f>
        <v>30000000</v>
      </c>
      <c r="M108" s="192"/>
    </row>
    <row r="109" spans="1:13" ht="12.75" customHeight="1" x14ac:dyDescent="0.2">
      <c r="A109" s="270">
        <v>45712</v>
      </c>
      <c r="B109" s="271">
        <v>45714</v>
      </c>
      <c r="C109" s="272" t="s">
        <v>146</v>
      </c>
      <c r="D109" s="229" t="s">
        <v>188</v>
      </c>
      <c r="E109" s="227">
        <v>46798</v>
      </c>
      <c r="F109" s="273">
        <v>6.6500000000000004E-2</v>
      </c>
      <c r="G109" s="273"/>
      <c r="H109" s="273"/>
      <c r="I109" s="193"/>
      <c r="J109" s="193"/>
      <c r="K109" s="274">
        <v>32965005</v>
      </c>
      <c r="L109" s="274">
        <f>K109</f>
        <v>32965005</v>
      </c>
      <c r="M109" s="275">
        <f>IF(L109=0,0,K109/L109)</f>
        <v>1</v>
      </c>
    </row>
    <row r="110" spans="1:13" ht="12.75" customHeight="1" x14ac:dyDescent="0.2">
      <c r="A110" s="276"/>
      <c r="B110" s="277"/>
      <c r="C110" s="278"/>
      <c r="D110" s="240" t="s">
        <v>189</v>
      </c>
      <c r="E110" s="241">
        <v>47894</v>
      </c>
      <c r="F110" s="279">
        <v>6.7500000000000004E-2</v>
      </c>
      <c r="G110" s="279"/>
      <c r="H110" s="279"/>
      <c r="I110" s="280"/>
      <c r="J110" s="280"/>
      <c r="K110" s="281">
        <v>4393882</v>
      </c>
      <c r="L110" s="281">
        <f>K110</f>
        <v>4393882</v>
      </c>
      <c r="M110" s="282">
        <f>IF(L110=0,0,K110/L110)</f>
        <v>1</v>
      </c>
    </row>
    <row r="111" spans="1:13" ht="12" customHeight="1" x14ac:dyDescent="0.2">
      <c r="A111" s="283" t="s">
        <v>121</v>
      </c>
      <c r="B111" s="264"/>
      <c r="C111" s="264"/>
      <c r="D111" s="264"/>
      <c r="E111" s="264"/>
      <c r="F111" s="264"/>
      <c r="G111" s="264"/>
      <c r="H111" s="264"/>
      <c r="I111" s="264"/>
      <c r="J111" s="284"/>
      <c r="K111" s="285">
        <f>SUM(K109:K110)</f>
        <v>37358887</v>
      </c>
      <c r="L111" s="285">
        <f>SUM(L109:L110)</f>
        <v>37358887</v>
      </c>
      <c r="M111" s="286"/>
    </row>
    <row r="112" spans="1:13" s="1" customFormat="1" ht="12.75" customHeight="1" outlineLevel="1" x14ac:dyDescent="0.2">
      <c r="A112" s="164">
        <v>45713</v>
      </c>
      <c r="B112" s="164">
        <v>45715</v>
      </c>
      <c r="C112" s="160" t="s">
        <v>136</v>
      </c>
      <c r="D112" s="172" t="s">
        <v>180</v>
      </c>
      <c r="E112" s="158">
        <v>45873</v>
      </c>
      <c r="F112" s="166" t="s">
        <v>128</v>
      </c>
      <c r="G112" s="166">
        <v>6.0499999999999998E-2</v>
      </c>
      <c r="H112" s="166">
        <v>6.0499999999999998E-2</v>
      </c>
      <c r="I112" s="178">
        <v>6.0499999999999998E-2</v>
      </c>
      <c r="J112" s="178">
        <v>6.0499999999999998E-2</v>
      </c>
      <c r="K112" s="174">
        <v>1040000</v>
      </c>
      <c r="L112" s="174">
        <v>800000</v>
      </c>
      <c r="M112" s="204">
        <f t="shared" ref="M112:M118" si="14">IF(L112=0,0,K112/L112)</f>
        <v>1.3</v>
      </c>
    </row>
    <row r="113" spans="1:13" s="1" customFormat="1" ht="12.75" customHeight="1" outlineLevel="1" x14ac:dyDescent="0.2">
      <c r="A113" s="164"/>
      <c r="B113" s="164"/>
      <c r="C113" s="160"/>
      <c r="D113" s="172" t="s">
        <v>181</v>
      </c>
      <c r="E113" s="158">
        <v>45971</v>
      </c>
      <c r="F113" s="166" t="s">
        <v>128</v>
      </c>
      <c r="G113" s="166">
        <v>6.1499999999999999E-2</v>
      </c>
      <c r="H113" s="166">
        <v>6.3E-2</v>
      </c>
      <c r="I113" s="178">
        <v>6.1499999999999999E-2</v>
      </c>
      <c r="J113" s="179">
        <v>6.1499999999999999E-2</v>
      </c>
      <c r="K113" s="174">
        <v>5928000</v>
      </c>
      <c r="L113" s="174">
        <v>2500000</v>
      </c>
      <c r="M113" s="205">
        <f t="shared" si="14"/>
        <v>2.3712</v>
      </c>
    </row>
    <row r="114" spans="1:13" s="1" customFormat="1" ht="12.75" customHeight="1" outlineLevel="1" x14ac:dyDescent="0.2">
      <c r="A114" s="164"/>
      <c r="B114" s="158"/>
      <c r="C114" s="160"/>
      <c r="D114" s="172" t="s">
        <v>50</v>
      </c>
      <c r="E114" s="158">
        <v>46402</v>
      </c>
      <c r="F114" s="166">
        <v>0.06</v>
      </c>
      <c r="G114" s="166">
        <v>6.3399999999999998E-2</v>
      </c>
      <c r="H114" s="166">
        <v>6.5199999999999994E-2</v>
      </c>
      <c r="I114" s="175">
        <v>6.3892199999999996E-2</v>
      </c>
      <c r="J114" s="179">
        <v>6.4100000000000004E-2</v>
      </c>
      <c r="K114" s="174">
        <v>4515000</v>
      </c>
      <c r="L114" s="174">
        <v>2300000</v>
      </c>
      <c r="M114" s="204">
        <f t="shared" si="14"/>
        <v>1.9630434782608697</v>
      </c>
    </row>
    <row r="115" spans="1:13" s="1" customFormat="1" ht="12.75" customHeight="1" outlineLevel="1" x14ac:dyDescent="0.2">
      <c r="A115" s="156"/>
      <c r="B115" s="156"/>
      <c r="C115" s="156"/>
      <c r="D115" s="2" t="s">
        <v>139</v>
      </c>
      <c r="E115" s="158">
        <v>46949</v>
      </c>
      <c r="F115" s="177">
        <v>5.8749999999999997E-2</v>
      </c>
      <c r="G115" s="166">
        <v>6.3700000000000007E-2</v>
      </c>
      <c r="H115" s="166">
        <v>6.54E-2</v>
      </c>
      <c r="I115" s="175">
        <v>6.4494800000000005E-2</v>
      </c>
      <c r="J115" s="166">
        <v>6.4799999999999996E-2</v>
      </c>
      <c r="K115" s="174">
        <v>2330500</v>
      </c>
      <c r="L115" s="174">
        <v>1800000</v>
      </c>
      <c r="M115" s="205">
        <f t="shared" si="14"/>
        <v>1.2947222222222223</v>
      </c>
    </row>
    <row r="116" spans="1:13" s="1" customFormat="1" ht="12.75" customHeight="1" outlineLevel="1" x14ac:dyDescent="0.2">
      <c r="A116" s="156"/>
      <c r="B116" s="156"/>
      <c r="C116" s="156"/>
      <c r="D116" s="172" t="s">
        <v>177</v>
      </c>
      <c r="E116" s="158">
        <v>47376</v>
      </c>
      <c r="F116" s="166">
        <v>6.6250000000000003E-2</v>
      </c>
      <c r="G116" s="166">
        <v>6.4600000000000005E-2</v>
      </c>
      <c r="H116" s="166">
        <v>6.6600000000000006E-2</v>
      </c>
      <c r="I116" s="175">
        <v>6.5192399999999998E-2</v>
      </c>
      <c r="J116" s="175">
        <v>6.5600000000000006E-2</v>
      </c>
      <c r="K116" s="174">
        <v>2633000</v>
      </c>
      <c r="L116" s="174">
        <v>1650000</v>
      </c>
      <c r="M116" s="205">
        <f t="shared" si="14"/>
        <v>1.5957575757575757</v>
      </c>
    </row>
    <row r="117" spans="1:13" s="1" customFormat="1" ht="12.75" customHeight="1" outlineLevel="1" x14ac:dyDescent="0.2">
      <c r="A117" s="180"/>
      <c r="B117" s="156"/>
      <c r="C117" s="181"/>
      <c r="D117" s="172" t="s">
        <v>141</v>
      </c>
      <c r="E117" s="158">
        <v>50936</v>
      </c>
      <c r="F117" s="166">
        <v>6.5000000000000002E-2</v>
      </c>
      <c r="G117" s="166">
        <v>6.7000000000000004E-2</v>
      </c>
      <c r="H117" s="166">
        <v>7.0499999999999993E-2</v>
      </c>
      <c r="I117" s="175">
        <v>6.7979300000000006E-2</v>
      </c>
      <c r="J117" s="175">
        <v>6.8500000000000005E-2</v>
      </c>
      <c r="K117" s="174">
        <v>518700</v>
      </c>
      <c r="L117" s="174">
        <v>300000</v>
      </c>
      <c r="M117" s="205">
        <f t="shared" si="14"/>
        <v>1.7290000000000001</v>
      </c>
    </row>
    <row r="118" spans="1:13" s="1" customFormat="1" ht="12.75" customHeight="1" outlineLevel="1" x14ac:dyDescent="0.2">
      <c r="A118" s="156"/>
      <c r="B118" s="156"/>
      <c r="C118" s="156"/>
      <c r="D118" s="172" t="s">
        <v>137</v>
      </c>
      <c r="E118" s="158">
        <v>54772</v>
      </c>
      <c r="F118" s="166">
        <v>6.8750000000000006E-2</v>
      </c>
      <c r="G118" s="166">
        <v>7.0000000000000007E-2</v>
      </c>
      <c r="H118" s="166">
        <v>7.1300000000000002E-2</v>
      </c>
      <c r="I118" s="175">
        <v>7.0697700000000002E-2</v>
      </c>
      <c r="J118" s="175">
        <v>7.1099999999999997E-2</v>
      </c>
      <c r="K118" s="174">
        <v>2946000</v>
      </c>
      <c r="L118" s="174">
        <v>2650000</v>
      </c>
      <c r="M118" s="205">
        <f t="shared" si="14"/>
        <v>1.1116981132075472</v>
      </c>
    </row>
    <row r="119" spans="1:13" s="1" customFormat="1" ht="12.75" customHeight="1" outlineLevel="1" x14ac:dyDescent="0.2">
      <c r="A119" s="256" t="s">
        <v>121</v>
      </c>
      <c r="B119" s="257"/>
      <c r="C119" s="257"/>
      <c r="D119" s="257"/>
      <c r="E119" s="257"/>
      <c r="F119" s="257"/>
      <c r="G119" s="257"/>
      <c r="H119" s="257"/>
      <c r="I119" s="257"/>
      <c r="J119" s="258"/>
      <c r="K119" s="176">
        <f>SUM(K112:K118)</f>
        <v>19911200</v>
      </c>
      <c r="L119" s="176">
        <f>SUM(L112:L118)</f>
        <v>12000000</v>
      </c>
      <c r="M119" s="165"/>
    </row>
    <row r="120" spans="1:13" x14ac:dyDescent="0.2">
      <c r="A120" s="259" t="s">
        <v>176</v>
      </c>
      <c r="B120" s="260"/>
      <c r="C120" s="260"/>
      <c r="D120" s="260"/>
      <c r="E120" s="260"/>
      <c r="F120" s="260"/>
      <c r="G120" s="260"/>
      <c r="H120" s="260"/>
      <c r="I120" s="260"/>
      <c r="J120" s="261"/>
      <c r="K120" s="173">
        <f>K82+K91+K99+K108+K119+K111</f>
        <v>269129187</v>
      </c>
      <c r="L120" s="173">
        <f>L82+L91+L99+L108+L119+L111</f>
        <v>127358887</v>
      </c>
      <c r="M120" s="165"/>
    </row>
    <row r="121" spans="1:13" x14ac:dyDescent="0.2">
      <c r="A121" s="259" t="s">
        <v>183</v>
      </c>
      <c r="B121" s="260"/>
      <c r="C121" s="260"/>
      <c r="D121" s="260"/>
      <c r="E121" s="260"/>
      <c r="F121" s="260"/>
      <c r="G121" s="260"/>
      <c r="H121" s="260"/>
      <c r="I121" s="260"/>
      <c r="J121" s="261"/>
      <c r="K121" s="173">
        <f>K74+K120</f>
        <v>537394253</v>
      </c>
      <c r="L121" s="173">
        <f>L74+L120</f>
        <v>331294653</v>
      </c>
      <c r="M121" s="165"/>
    </row>
    <row r="122" spans="1:13" ht="12" customHeight="1" outlineLevel="1" x14ac:dyDescent="0.2">
      <c r="A122" s="197">
        <v>45720</v>
      </c>
      <c r="B122" s="202">
        <v>45722</v>
      </c>
      <c r="C122" s="198" t="s">
        <v>136</v>
      </c>
      <c r="D122" s="183" t="s">
        <v>186</v>
      </c>
      <c r="E122" s="184">
        <v>45812</v>
      </c>
      <c r="F122" s="185" t="s">
        <v>128</v>
      </c>
      <c r="G122" s="193" t="s">
        <v>130</v>
      </c>
      <c r="H122" s="193" t="s">
        <v>130</v>
      </c>
      <c r="I122" s="193" t="s">
        <v>130</v>
      </c>
      <c r="J122" s="193" t="s">
        <v>130</v>
      </c>
      <c r="K122" s="210">
        <v>1000000</v>
      </c>
      <c r="L122" s="210">
        <v>0</v>
      </c>
      <c r="M122" s="187">
        <f t="shared" ref="M122:M129" si="15">IF(L122=0,0,K122/L122)</f>
        <v>0</v>
      </c>
    </row>
    <row r="123" spans="1:13" ht="12" customHeight="1" outlineLevel="1" x14ac:dyDescent="0.2">
      <c r="A123" s="197"/>
      <c r="B123" s="182"/>
      <c r="C123" s="198"/>
      <c r="D123" s="183" t="s">
        <v>187</v>
      </c>
      <c r="E123" s="184">
        <v>46086</v>
      </c>
      <c r="F123" s="185" t="s">
        <v>128</v>
      </c>
      <c r="G123" s="201">
        <v>6.25E-2</v>
      </c>
      <c r="H123" s="201">
        <v>6.4000000000000001E-2</v>
      </c>
      <c r="I123" s="212">
        <v>6.25E-2</v>
      </c>
      <c r="J123" s="201">
        <v>6.25E-2</v>
      </c>
      <c r="K123" s="213">
        <v>4960000</v>
      </c>
      <c r="L123" s="213">
        <v>2000000</v>
      </c>
      <c r="M123" s="187">
        <f t="shared" si="15"/>
        <v>2.48</v>
      </c>
    </row>
    <row r="124" spans="1:13" ht="12.75" customHeight="1" outlineLevel="1" x14ac:dyDescent="0.2">
      <c r="A124" s="197"/>
      <c r="B124" s="184"/>
      <c r="C124" s="198"/>
      <c r="D124" s="183" t="s">
        <v>154</v>
      </c>
      <c r="E124" s="184">
        <v>47679</v>
      </c>
      <c r="F124" s="185">
        <v>6.5000000000000002E-2</v>
      </c>
      <c r="G124" s="185">
        <v>6.6500000000000004E-2</v>
      </c>
      <c r="H124" s="185">
        <v>6.9000000000000006E-2</v>
      </c>
      <c r="I124" s="212">
        <v>6.6602499999999995E-2</v>
      </c>
      <c r="J124" s="186">
        <v>6.6699999999999995E-2</v>
      </c>
      <c r="K124" s="210">
        <v>42007000</v>
      </c>
      <c r="L124" s="210">
        <v>9850000</v>
      </c>
      <c r="M124" s="187">
        <f t="shared" si="15"/>
        <v>4.2646700507614215</v>
      </c>
    </row>
    <row r="125" spans="1:13" ht="12.75" customHeight="1" outlineLevel="1" x14ac:dyDescent="0.2">
      <c r="A125" s="190"/>
      <c r="B125" s="188"/>
      <c r="C125" s="191"/>
      <c r="D125" s="183" t="s">
        <v>155</v>
      </c>
      <c r="E125" s="184">
        <v>49505</v>
      </c>
      <c r="F125" s="185">
        <v>6.7500000000000004E-2</v>
      </c>
      <c r="G125" s="185">
        <v>6.8400000000000002E-2</v>
      </c>
      <c r="H125" s="185">
        <v>7.0000000000000007E-2</v>
      </c>
      <c r="I125" s="186">
        <v>6.8699800000000005E-2</v>
      </c>
      <c r="J125" s="196">
        <v>6.8900000000000003E-2</v>
      </c>
      <c r="K125" s="210">
        <v>17391400</v>
      </c>
      <c r="L125" s="210">
        <v>11250000</v>
      </c>
      <c r="M125" s="187">
        <f t="shared" si="15"/>
        <v>1.5459022222222223</v>
      </c>
    </row>
    <row r="126" spans="1:13" ht="12.75" customHeight="1" outlineLevel="1" x14ac:dyDescent="0.2">
      <c r="A126" s="190"/>
      <c r="B126" s="188"/>
      <c r="C126" s="191"/>
      <c r="D126" s="183" t="s">
        <v>165</v>
      </c>
      <c r="E126" s="184">
        <v>51363</v>
      </c>
      <c r="F126" s="185">
        <v>7.1249999999999994E-2</v>
      </c>
      <c r="G126" s="185">
        <v>6.9699999999999998E-2</v>
      </c>
      <c r="H126" s="185">
        <v>7.1199999999999999E-2</v>
      </c>
      <c r="I126" s="195">
        <v>7.0097300000000001E-2</v>
      </c>
      <c r="J126" s="196">
        <v>7.0300000000000001E-2</v>
      </c>
      <c r="K126" s="210">
        <v>4332900</v>
      </c>
      <c r="L126" s="210">
        <v>3100000</v>
      </c>
      <c r="M126" s="187">
        <f t="shared" si="15"/>
        <v>1.3977096774193549</v>
      </c>
    </row>
    <row r="127" spans="1:13" ht="12.75" customHeight="1" outlineLevel="1" x14ac:dyDescent="0.2">
      <c r="A127" s="190"/>
      <c r="B127" s="188"/>
      <c r="C127" s="191"/>
      <c r="D127" s="183" t="s">
        <v>166</v>
      </c>
      <c r="E127" s="184">
        <v>53189</v>
      </c>
      <c r="F127" s="185">
        <v>7.1249999999999994E-2</v>
      </c>
      <c r="G127" s="185">
        <v>6.9800000000000001E-2</v>
      </c>
      <c r="H127" s="185">
        <v>7.0999999999999994E-2</v>
      </c>
      <c r="I127" s="186">
        <v>7.0172499999999999E-2</v>
      </c>
      <c r="J127" s="194">
        <v>7.0400000000000004E-2</v>
      </c>
      <c r="K127" s="214">
        <v>2593400</v>
      </c>
      <c r="L127" s="214">
        <v>2250000</v>
      </c>
      <c r="M127" s="187">
        <f t="shared" si="15"/>
        <v>1.1526222222222222</v>
      </c>
    </row>
    <row r="128" spans="1:13" ht="12.75" customHeight="1" outlineLevel="1" x14ac:dyDescent="0.2">
      <c r="A128" s="190"/>
      <c r="B128" s="188"/>
      <c r="C128" s="191"/>
      <c r="D128" s="183" t="s">
        <v>158</v>
      </c>
      <c r="E128" s="184">
        <v>56445</v>
      </c>
      <c r="F128" s="185">
        <v>6.8750000000000006E-2</v>
      </c>
      <c r="G128" s="185">
        <v>6.9900000000000004E-2</v>
      </c>
      <c r="H128" s="185">
        <v>7.0999999999999994E-2</v>
      </c>
      <c r="I128" s="186">
        <v>7.0194300000000001E-2</v>
      </c>
      <c r="J128" s="194">
        <v>7.0300000000000001E-2</v>
      </c>
      <c r="K128" s="214">
        <v>918100</v>
      </c>
      <c r="L128" s="214">
        <v>250000</v>
      </c>
      <c r="M128" s="187">
        <f t="shared" si="15"/>
        <v>3.6724000000000001</v>
      </c>
    </row>
    <row r="129" spans="1:13" ht="12.75" customHeight="1" outlineLevel="1" x14ac:dyDescent="0.2">
      <c r="A129" s="190"/>
      <c r="B129" s="199"/>
      <c r="C129" s="191"/>
      <c r="D129" s="183" t="s">
        <v>159</v>
      </c>
      <c r="E129" s="184">
        <v>60098</v>
      </c>
      <c r="F129" s="185">
        <v>6.8750000000000006E-2</v>
      </c>
      <c r="G129" s="185">
        <v>7.0000000000000007E-2</v>
      </c>
      <c r="H129" s="185">
        <v>7.1599999999999997E-2</v>
      </c>
      <c r="I129" s="196">
        <v>7.1297600000000003E-2</v>
      </c>
      <c r="J129" s="195">
        <v>7.1499999999999994E-2</v>
      </c>
      <c r="K129" s="214">
        <v>2580500</v>
      </c>
      <c r="L129" s="214">
        <v>1300000</v>
      </c>
      <c r="M129" s="200">
        <f t="shared" si="15"/>
        <v>1.9850000000000001</v>
      </c>
    </row>
    <row r="130" spans="1:13" s="1" customFormat="1" ht="12.75" customHeight="1" outlineLevel="1" x14ac:dyDescent="0.2">
      <c r="A130" s="263" t="s">
        <v>121</v>
      </c>
      <c r="B130" s="264"/>
      <c r="C130" s="265"/>
      <c r="D130" s="265"/>
      <c r="E130" s="265"/>
      <c r="F130" s="265"/>
      <c r="G130" s="265"/>
      <c r="H130" s="265"/>
      <c r="I130" s="265"/>
      <c r="J130" s="266"/>
      <c r="K130" s="189">
        <f>SUM(K122:K129)</f>
        <v>75783300</v>
      </c>
      <c r="L130" s="189">
        <f>SUM(L122:L129)</f>
        <v>30000000</v>
      </c>
      <c r="M130" s="192"/>
    </row>
    <row r="131" spans="1:13" x14ac:dyDescent="0.2">
      <c r="A131" s="259" t="s">
        <v>184</v>
      </c>
      <c r="B131" s="260"/>
      <c r="C131" s="260"/>
      <c r="D131" s="260"/>
      <c r="E131" s="260"/>
      <c r="F131" s="260"/>
      <c r="G131" s="260"/>
      <c r="H131" s="260"/>
      <c r="I131" s="260"/>
      <c r="J131" s="261"/>
      <c r="K131" s="173">
        <f>K130</f>
        <v>75783300</v>
      </c>
      <c r="L131" s="173">
        <f>L130</f>
        <v>30000000</v>
      </c>
      <c r="M131" s="165"/>
    </row>
    <row r="132" spans="1:13" x14ac:dyDescent="0.2">
      <c r="A132" s="259" t="s">
        <v>185</v>
      </c>
      <c r="B132" s="260"/>
      <c r="C132" s="260"/>
      <c r="D132" s="260"/>
      <c r="E132" s="260"/>
      <c r="F132" s="260"/>
      <c r="G132" s="260"/>
      <c r="H132" s="260"/>
      <c r="I132" s="260"/>
      <c r="J132" s="261"/>
      <c r="K132" s="173">
        <f>K121+K131</f>
        <v>613177553</v>
      </c>
      <c r="L132" s="173">
        <f>L121+L131</f>
        <v>361294653</v>
      </c>
      <c r="M132" s="165"/>
    </row>
  </sheetData>
  <mergeCells count="23">
    <mergeCell ref="A132:J132"/>
    <mergeCell ref="A111:J111"/>
    <mergeCell ref="A119:J119"/>
    <mergeCell ref="A91:J91"/>
    <mergeCell ref="A108:J108"/>
    <mergeCell ref="A130:J130"/>
    <mergeCell ref="A131:J131"/>
    <mergeCell ref="A99:J99"/>
    <mergeCell ref="A120:J120"/>
    <mergeCell ref="A82:J82"/>
    <mergeCell ref="A121:J121"/>
    <mergeCell ref="L2:M2"/>
    <mergeCell ref="A74:J74"/>
    <mergeCell ref="A73:J73"/>
    <mergeCell ref="A18:J18"/>
    <mergeCell ref="A35:J35"/>
    <mergeCell ref="A10:J10"/>
    <mergeCell ref="A27:J27"/>
    <mergeCell ref="A37:J37"/>
    <mergeCell ref="A46:J46"/>
    <mergeCell ref="A63:J63"/>
    <mergeCell ref="A72:J72"/>
    <mergeCell ref="A55:J55"/>
  </mergeCells>
  <phoneticPr fontId="0" type="noConversion"/>
  <printOptions horizontalCentered="1"/>
  <pageMargins left="0" right="0" top="0.39370078740157499" bottom="0" header="0.15748031496063" footer="0.196850393700787"/>
  <pageSetup paperSize="9" scale="33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P7"/>
  <sheetViews>
    <sheetView workbookViewId="0">
      <selection activeCell="K3" sqref="K3:L7"/>
    </sheetView>
  </sheetViews>
  <sheetFormatPr defaultColWidth="8.85546875" defaultRowHeight="12.75" x14ac:dyDescent="0.2"/>
  <cols>
    <col min="4" max="4" width="12.7109375" bestFit="1" customWidth="1"/>
    <col min="5" max="5" width="9.7109375" bestFit="1" customWidth="1"/>
    <col min="6" max="12" width="6.28515625" bestFit="1" customWidth="1"/>
    <col min="13" max="13" width="17.42578125" bestFit="1" customWidth="1"/>
    <col min="14" max="16" width="16.42578125" bestFit="1" customWidth="1"/>
  </cols>
  <sheetData>
    <row r="3" spans="2:16" x14ac:dyDescent="0.2">
      <c r="B3" s="167">
        <v>43053</v>
      </c>
      <c r="C3" s="167">
        <v>43055</v>
      </c>
      <c r="D3" t="s">
        <v>132</v>
      </c>
      <c r="E3" s="167">
        <v>43146</v>
      </c>
      <c r="F3" t="s">
        <v>130</v>
      </c>
      <c r="G3" s="168">
        <v>4.7500000000000001E-2</v>
      </c>
      <c r="H3" s="168">
        <v>4.87813E-2</v>
      </c>
      <c r="I3" s="168">
        <v>5.1999999999999998E-2</v>
      </c>
      <c r="J3" s="168">
        <v>4.7500000000000001E-2</v>
      </c>
      <c r="K3" s="168">
        <v>4.8269199999999998E-2</v>
      </c>
      <c r="L3" s="168">
        <v>4.8800000000000003E-2</v>
      </c>
      <c r="M3" s="169">
        <v>15000000000000</v>
      </c>
      <c r="N3" s="169">
        <v>3900000000000</v>
      </c>
      <c r="O3" s="169">
        <v>2600000000000</v>
      </c>
      <c r="P3" s="169">
        <v>2600000000000</v>
      </c>
    </row>
    <row r="4" spans="2:16" x14ac:dyDescent="0.2">
      <c r="C4" s="167">
        <v>43055</v>
      </c>
      <c r="D4" t="s">
        <v>133</v>
      </c>
      <c r="E4" s="167">
        <v>43419</v>
      </c>
      <c r="F4" t="s">
        <v>130</v>
      </c>
      <c r="G4" s="168">
        <v>5.1900000000000002E-2</v>
      </c>
      <c r="H4" s="168">
        <v>5.3297200000000003E-2</v>
      </c>
      <c r="I4" s="168">
        <v>5.5500000000000001E-2</v>
      </c>
      <c r="J4" s="168">
        <v>5.1900000000000002E-2</v>
      </c>
      <c r="K4" s="168">
        <v>5.253E-2</v>
      </c>
      <c r="L4" s="168">
        <v>5.3199999999999997E-2</v>
      </c>
      <c r="N4" s="169">
        <v>6000000000000</v>
      </c>
      <c r="O4" s="169">
        <v>5200000000000</v>
      </c>
      <c r="P4" s="169">
        <v>3000000000000</v>
      </c>
    </row>
    <row r="5" spans="2:16" x14ac:dyDescent="0.2">
      <c r="C5" s="167">
        <v>43055</v>
      </c>
      <c r="D5" t="s">
        <v>35</v>
      </c>
      <c r="E5" s="167">
        <v>44696</v>
      </c>
      <c r="F5" s="168">
        <v>7.0000000000000007E-2</v>
      </c>
      <c r="G5" s="168">
        <v>6.2700000000000006E-2</v>
      </c>
      <c r="H5" s="168">
        <v>6.3400300000000007E-2</v>
      </c>
      <c r="I5" s="168">
        <v>6.5000000000000002E-2</v>
      </c>
      <c r="J5" s="168">
        <v>6.2700000000000006E-2</v>
      </c>
      <c r="K5" s="168">
        <v>6.2915700000000005E-2</v>
      </c>
      <c r="L5" s="168">
        <v>6.3E-2</v>
      </c>
      <c r="N5" s="169">
        <v>9775500000000</v>
      </c>
      <c r="O5" s="169">
        <v>4250000000000</v>
      </c>
      <c r="P5" s="169">
        <v>2800000000000</v>
      </c>
    </row>
    <row r="6" spans="2:16" x14ac:dyDescent="0.2">
      <c r="C6" s="167">
        <v>43055</v>
      </c>
      <c r="D6" t="s">
        <v>43</v>
      </c>
      <c r="E6" s="167">
        <v>46522</v>
      </c>
      <c r="F6" s="168">
        <v>7.0000000000000007E-2</v>
      </c>
      <c r="G6" s="168">
        <v>6.5699999999999995E-2</v>
      </c>
      <c r="H6" s="168">
        <v>6.6803500000000002E-2</v>
      </c>
      <c r="I6" s="168">
        <v>6.8599999999999994E-2</v>
      </c>
      <c r="J6" s="168">
        <v>6.5699999999999995E-2</v>
      </c>
      <c r="K6" s="168">
        <v>6.6193399999999999E-2</v>
      </c>
      <c r="L6" s="168">
        <v>6.6500000000000004E-2</v>
      </c>
      <c r="N6" s="169">
        <v>9487500000000</v>
      </c>
      <c r="O6" s="169">
        <v>7150000000000</v>
      </c>
      <c r="P6" s="169">
        <v>4550000000000</v>
      </c>
    </row>
    <row r="7" spans="2:16" x14ac:dyDescent="0.2">
      <c r="C7" s="167">
        <v>43055</v>
      </c>
      <c r="D7" t="s">
        <v>131</v>
      </c>
      <c r="E7" s="167">
        <v>50540</v>
      </c>
      <c r="F7" s="168">
        <v>7.4999999999999997E-2</v>
      </c>
      <c r="G7" s="168">
        <v>7.2400000000000006E-2</v>
      </c>
      <c r="H7" s="168">
        <v>7.2925400000000001E-2</v>
      </c>
      <c r="I7" s="168">
        <v>7.4499999999999997E-2</v>
      </c>
      <c r="J7" s="168">
        <v>7.2400000000000006E-2</v>
      </c>
      <c r="K7" s="168">
        <v>7.2629799999999994E-2</v>
      </c>
      <c r="L7" s="168">
        <v>7.2999999999999995E-2</v>
      </c>
      <c r="N7" s="169">
        <v>9760500000000</v>
      </c>
      <c r="O7" s="169">
        <v>7300000000000</v>
      </c>
      <c r="P7" s="169">
        <v>6450000000000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" ma:contentTypeID="0x0101005813173C3A8CFD4EA7D82D1D593F81CD" ma:contentTypeVersion="15" ma:contentTypeDescription="Buat sebuah dokumen baru." ma:contentTypeScope="" ma:versionID="9d3fa71393b9b1b3db07fc6ee8bbc3ff">
  <xsd:schema xmlns:xsd="http://www.w3.org/2001/XMLSchema" xmlns:xs="http://www.w3.org/2001/XMLSchema" xmlns:p="http://schemas.microsoft.com/office/2006/metadata/properties" xmlns:ns2="3cdbb211-5556-4702-af5b-9f4530d77cc2" xmlns:ns3="4618081e-053c-43f9-96b2-23a82a8ed040" targetNamespace="http://schemas.microsoft.com/office/2006/metadata/properties" ma:root="true" ma:fieldsID="04fec85a0aeccb6d77107f4ca4f5ea69" ns2:_="" ns3:_="">
    <xsd:import namespace="3cdbb211-5556-4702-af5b-9f4530d77cc2"/>
    <xsd:import namespace="4618081e-053c-43f9-96b2-23a82a8ed0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dbb211-5556-4702-af5b-9f4530d77c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4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Tag Gambar" ma:readOnly="false" ma:fieldId="{5cf76f15-5ced-4ddc-b409-7134ff3c332f}" ma:taxonomyMulti="true" ma:sspId="13a81aea-b39a-4503-b357-deb112bd17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18081e-053c-43f9-96b2-23a82a8ed04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ibagikan Denga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ibagikan Dengan Detail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9575d94-9003-4699-9254-31988c9e9664}" ma:internalName="TaxCatchAll" ma:showField="CatchAllData" ma:web="4618081e-053c-43f9-96b2-23a82a8ed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e Isi"/>
        <xsd:element ref="dc:title" minOccurs="0" maxOccurs="1" ma:index="4" ma:displayName="Judu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18081e-053c-43f9-96b2-23a82a8ed040" xsi:nil="true"/>
    <lcf76f155ced4ddcb4097134ff3c332f xmlns="3cdbb211-5556-4702-af5b-9f4530d77cc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5FF7A8-7311-4F08-A807-69A3035A58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dbb211-5556-4702-af5b-9f4530d77cc2"/>
    <ds:schemaRef ds:uri="4618081e-053c-43f9-96b2-23a82a8ed0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A31225-87AC-4B6D-BAA8-4EADCB9379D0}">
  <ds:schemaRefs>
    <ds:schemaRef ds:uri="http://schemas.microsoft.com/office/2006/metadata/properties"/>
    <ds:schemaRef ds:uri="http://schemas.microsoft.com/office/infopath/2007/PartnerControls"/>
    <ds:schemaRef ds:uri="4618081e-053c-43f9-96b2-23a82a8ed040"/>
    <ds:schemaRef ds:uri="3cdbb211-5556-4702-af5b-9f4530d77cc2"/>
  </ds:schemaRefs>
</ds:datastoreItem>
</file>

<file path=customXml/itemProps3.xml><?xml version="1.0" encoding="utf-8"?>
<ds:datastoreItem xmlns:ds="http://schemas.openxmlformats.org/officeDocument/2006/customXml" ds:itemID="{25F13A87-5A08-42B9-A365-EBC2925CDA5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ed6fb366-8322-46f3-915e-c4d037a454a9}" enabled="0" method="" siteId="{ed6fb366-8322-46f3-915e-c4d037a454a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Contoh_SBN</vt:lpstr>
      <vt:lpstr>SBN</vt:lpstr>
      <vt:lpstr>Sheet1</vt:lpstr>
      <vt:lpstr>Contoh_SBN!Print_Area</vt:lpstr>
      <vt:lpstr>Contoh_SBN!Print_Titles</vt:lpstr>
      <vt:lpstr>SBN!Print_Titles</vt:lpstr>
    </vt:vector>
  </TitlesOfParts>
  <Company>dmo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DMO</dc:creator>
  <cp:lastModifiedBy>Advianto Maringgih</cp:lastModifiedBy>
  <cp:lastPrinted>2020-03-18T18:47:42Z</cp:lastPrinted>
  <dcterms:created xsi:type="dcterms:W3CDTF">2010-01-14T01:56:27Z</dcterms:created>
  <dcterms:modified xsi:type="dcterms:W3CDTF">2025-03-06T03:46:02Z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0x0101005813173C3A8CFD4EA7D82D1D593F81CD</vt:lpwstr>
  </property>
  <property fmtid="{D5CDD505-2E9C-101B-9397-08002B2CF9AE}" pid="3" name="MediaServiceImageTags">
    <vt:lpwstr/>
  </property>
</Properties>
</file>