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t. SUN\Public\Upload WEB AKPSUN\"/>
    </mc:Choice>
  </mc:AlternateContent>
  <bookViews>
    <workbookView xWindow="0" yWindow="0" windowWidth="24000" windowHeight="9735" tabRatio="715" firstSheet="1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Area" localSheetId="1">SBN!$A$1:$M$42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52511"/>
</workbook>
</file>

<file path=xl/calcChain.xml><?xml version="1.0" encoding="utf-8"?>
<calcChain xmlns="http://schemas.openxmlformats.org/spreadsheetml/2006/main">
  <c r="K350" i="1" l="1"/>
  <c r="K354" i="1"/>
  <c r="K341" i="1"/>
  <c r="K340" i="1"/>
  <c r="K339" i="1"/>
  <c r="K338" i="1"/>
  <c r="L353" i="1" l="1"/>
  <c r="K353" i="1"/>
  <c r="K352" i="1"/>
  <c r="M364" i="1" l="1"/>
  <c r="M363" i="1"/>
  <c r="K362" i="1"/>
  <c r="K357" i="1"/>
  <c r="M362" i="1"/>
  <c r="K361" i="1"/>
  <c r="K359" i="1"/>
  <c r="K360" i="1"/>
  <c r="K358" i="1"/>
  <c r="L354" i="1" l="1"/>
  <c r="L352" i="1"/>
  <c r="L350" i="1" l="1"/>
  <c r="L349" i="1"/>
  <c r="L348" i="1"/>
  <c r="K348" i="1"/>
  <c r="M347" i="1"/>
  <c r="M345" i="1"/>
  <c r="M344" i="1"/>
  <c r="M343" i="1"/>
  <c r="L342" i="1" l="1"/>
  <c r="K337" i="1"/>
  <c r="K342" i="1" s="1"/>
  <c r="K349" i="1" l="1"/>
  <c r="M341" i="1"/>
  <c r="M340" i="1"/>
  <c r="M339" i="1"/>
  <c r="M338" i="1"/>
  <c r="M315" i="1"/>
  <c r="M337" i="1" l="1"/>
  <c r="L336" i="1"/>
  <c r="K336" i="1"/>
  <c r="M335" i="1"/>
  <c r="M334" i="1"/>
  <c r="M333" i="1"/>
  <c r="M332" i="1"/>
  <c r="M331" i="1"/>
  <c r="L330" i="1" l="1"/>
  <c r="K329" i="1"/>
  <c r="M329" i="1" s="1"/>
  <c r="K328" i="1"/>
  <c r="M328" i="1" s="1"/>
  <c r="K327" i="1"/>
  <c r="M327" i="1" s="1"/>
  <c r="K326" i="1"/>
  <c r="M326" i="1" s="1"/>
  <c r="K325" i="1"/>
  <c r="K330" i="1" s="1"/>
  <c r="M325" i="1" l="1"/>
  <c r="L322" i="1"/>
  <c r="K322" i="1"/>
  <c r="M321" i="1"/>
  <c r="M320" i="1"/>
  <c r="M319" i="1"/>
  <c r="M318" i="1"/>
  <c r="M317" i="1"/>
  <c r="L314" i="1" l="1"/>
  <c r="K313" i="1"/>
  <c r="M313" i="1" s="1"/>
  <c r="K312" i="1"/>
  <c r="K311" i="1"/>
  <c r="M311" i="1" s="1"/>
  <c r="K310" i="1"/>
  <c r="K309" i="1"/>
  <c r="M309" i="1" s="1"/>
  <c r="K308" i="1"/>
  <c r="M308" i="1" s="1"/>
  <c r="M312" i="1"/>
  <c r="M310" i="1" l="1"/>
  <c r="K314" i="1"/>
  <c r="L307" i="1"/>
  <c r="K307" i="1"/>
  <c r="M305" i="1"/>
  <c r="M304" i="1"/>
  <c r="M303" i="1"/>
  <c r="M302" i="1"/>
  <c r="L301" i="1" l="1"/>
  <c r="L323" i="1" s="1"/>
  <c r="K300" i="1"/>
  <c r="M300" i="1" s="1"/>
  <c r="K299" i="1"/>
  <c r="K298" i="1"/>
  <c r="K297" i="1"/>
  <c r="K296" i="1"/>
  <c r="M296" i="1" s="1"/>
  <c r="M299" i="1"/>
  <c r="M298" i="1"/>
  <c r="M297" i="1"/>
  <c r="K301" i="1" l="1"/>
  <c r="K323" i="1" s="1"/>
  <c r="L293" i="1"/>
  <c r="K293" i="1"/>
  <c r="M292" i="1"/>
  <c r="M291" i="1"/>
  <c r="M290" i="1"/>
  <c r="M289" i="1"/>
  <c r="M288" i="1"/>
  <c r="L287" i="1" l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M281" i="1" s="1"/>
  <c r="K287" i="1" l="1"/>
  <c r="L280" i="1"/>
  <c r="K280" i="1"/>
  <c r="M279" i="1"/>
  <c r="M278" i="1"/>
  <c r="M277" i="1"/>
  <c r="M276" i="1"/>
  <c r="M275" i="1"/>
  <c r="K273" i="1" l="1"/>
  <c r="M273" i="1" s="1"/>
  <c r="K272" i="1"/>
  <c r="K271" i="1"/>
  <c r="M271" i="1" s="1"/>
  <c r="K270" i="1"/>
  <c r="K269" i="1"/>
  <c r="L274" i="1"/>
  <c r="M272" i="1"/>
  <c r="M270" i="1"/>
  <c r="K274" i="1" l="1"/>
  <c r="M269" i="1"/>
  <c r="M267" i="1"/>
  <c r="L268" i="1"/>
  <c r="L294" i="1" s="1"/>
  <c r="K268" i="1"/>
  <c r="K294" i="1" s="1"/>
  <c r="L264" i="1" l="1"/>
  <c r="K264" i="1"/>
  <c r="M263" i="1"/>
  <c r="M262" i="1"/>
  <c r="M261" i="1"/>
  <c r="M260" i="1"/>
  <c r="M259" i="1"/>
  <c r="K257" i="1" l="1"/>
  <c r="M257" i="1" s="1"/>
  <c r="K256" i="1"/>
  <c r="M256" i="1" s="1"/>
  <c r="K255" i="1"/>
  <c r="K254" i="1"/>
  <c r="M254" i="1" s="1"/>
  <c r="K253" i="1"/>
  <c r="L258" i="1"/>
  <c r="M255" i="1"/>
  <c r="K258" i="1" l="1"/>
  <c r="M253" i="1"/>
  <c r="L252" i="1"/>
  <c r="K252" i="1"/>
  <c r="M251" i="1"/>
  <c r="M250" i="1"/>
  <c r="M249" i="1"/>
  <c r="M248" i="1"/>
  <c r="M247" i="1"/>
  <c r="L246" i="1" l="1"/>
  <c r="K245" i="1"/>
  <c r="K244" i="1"/>
  <c r="K243" i="1"/>
  <c r="M243" i="1" s="1"/>
  <c r="K242" i="1"/>
  <c r="M242" i="1" s="1"/>
  <c r="K241" i="1"/>
  <c r="M245" i="1"/>
  <c r="K246" i="1" l="1"/>
  <c r="M244" i="1"/>
  <c r="M241" i="1"/>
  <c r="L215" i="1"/>
  <c r="K215" i="1"/>
  <c r="L213" i="1"/>
  <c r="K213" i="1"/>
  <c r="L211" i="1"/>
  <c r="K211" i="1"/>
  <c r="M211" i="1" l="1"/>
  <c r="L216" i="1"/>
  <c r="K216" i="1"/>
  <c r="M215" i="1"/>
  <c r="M213" i="1"/>
  <c r="K231" i="1"/>
  <c r="M231" i="1" s="1"/>
  <c r="K230" i="1"/>
  <c r="K229" i="1"/>
  <c r="M229" i="1" s="1"/>
  <c r="K228" i="1"/>
  <c r="K227" i="1"/>
  <c r="M227" i="1" s="1"/>
  <c r="L232" i="1"/>
  <c r="M230" i="1"/>
  <c r="M228" i="1"/>
  <c r="K232" i="1" l="1"/>
  <c r="L240" i="1"/>
  <c r="L265" i="1" s="1"/>
  <c r="K240" i="1"/>
  <c r="K265" i="1" s="1"/>
  <c r="M239" i="1"/>
  <c r="M238" i="1"/>
  <c r="M237" i="1"/>
  <c r="M236" i="1"/>
  <c r="M235" i="1"/>
  <c r="L226" i="1" l="1"/>
  <c r="K226" i="1"/>
  <c r="L224" i="1" l="1"/>
  <c r="K224" i="1"/>
  <c r="L222" i="1"/>
  <c r="M220" i="1"/>
  <c r="M221" i="1"/>
  <c r="K222" i="1"/>
  <c r="M219" i="1"/>
  <c r="M218" i="1"/>
  <c r="M217" i="1"/>
  <c r="K208" i="1" l="1"/>
  <c r="M208" i="1" s="1"/>
  <c r="K207" i="1"/>
  <c r="M207" i="1" s="1"/>
  <c r="K206" i="1"/>
  <c r="M206" i="1" s="1"/>
  <c r="K205" i="1"/>
  <c r="M205" i="1" s="1"/>
  <c r="K204" i="1"/>
  <c r="M204" i="1" s="1"/>
  <c r="L209" i="1"/>
  <c r="K209" i="1" l="1"/>
  <c r="M200" i="1"/>
  <c r="M199" i="1"/>
  <c r="M198" i="1"/>
  <c r="L203" i="1"/>
  <c r="L233" i="1" s="1"/>
  <c r="K203" i="1"/>
  <c r="K233" i="1" l="1"/>
  <c r="L183" i="1"/>
  <c r="K183" i="1"/>
  <c r="L195" i="1" l="1"/>
  <c r="K195" i="1"/>
  <c r="M194" i="1"/>
  <c r="M193" i="1"/>
  <c r="M192" i="1"/>
  <c r="M191" i="1"/>
  <c r="M190" i="1"/>
  <c r="L174" i="1" l="1"/>
  <c r="K174" i="1"/>
  <c r="L172" i="1"/>
  <c r="K172" i="1"/>
  <c r="L170" i="1"/>
  <c r="K170" i="1"/>
  <c r="K175" i="1" l="1"/>
  <c r="L175" i="1"/>
  <c r="M172" i="1"/>
  <c r="M174" i="1"/>
  <c r="M170" i="1" l="1"/>
  <c r="L189" i="1"/>
  <c r="K189" i="1"/>
  <c r="M187" i="1"/>
  <c r="M185" i="1"/>
  <c r="M184" i="1"/>
  <c r="L181" i="1" l="1"/>
  <c r="K181" i="1"/>
  <c r="M180" i="1"/>
  <c r="M179" i="1"/>
  <c r="M178" i="1"/>
  <c r="M177" i="1"/>
  <c r="M176" i="1"/>
  <c r="M163" i="1" l="1"/>
  <c r="L166" i="1"/>
  <c r="L196" i="1" s="1"/>
  <c r="K166" i="1"/>
  <c r="K196" i="1" s="1"/>
  <c r="M165" i="1"/>
  <c r="M164" i="1"/>
  <c r="M162" i="1"/>
  <c r="M161" i="1"/>
  <c r="M155" i="1" l="1"/>
  <c r="L158" i="1"/>
  <c r="K158" i="1"/>
  <c r="M157" i="1"/>
  <c r="M156" i="1"/>
  <c r="M154" i="1"/>
  <c r="M153" i="1"/>
  <c r="M150" i="1" l="1"/>
  <c r="L152" i="1"/>
  <c r="K152" i="1"/>
  <c r="M151" i="1"/>
  <c r="M148" i="1"/>
  <c r="M147" i="1"/>
  <c r="L124" i="1" l="1"/>
  <c r="K124" i="1"/>
  <c r="L146" i="1" l="1"/>
  <c r="K146" i="1" l="1"/>
  <c r="M145" i="1"/>
  <c r="M144" i="1"/>
  <c r="M143" i="1"/>
  <c r="M142" i="1"/>
  <c r="M141" i="1"/>
  <c r="M137" i="1" l="1"/>
  <c r="M139" i="1"/>
  <c r="M136" i="1"/>
  <c r="M135" i="1"/>
  <c r="M121" i="1"/>
  <c r="M120" i="1"/>
  <c r="M118" i="1"/>
  <c r="M117" i="1"/>
  <c r="L122" i="1"/>
  <c r="K122" i="1"/>
  <c r="L140" i="1"/>
  <c r="L159" i="1" s="1"/>
  <c r="K140" i="1"/>
  <c r="K159" i="1" s="1"/>
  <c r="L125" i="1" l="1"/>
  <c r="K125" i="1"/>
  <c r="M124" i="1" l="1"/>
  <c r="M128" i="1" l="1"/>
  <c r="L132" i="1"/>
  <c r="K132" i="1"/>
  <c r="M131" i="1"/>
  <c r="M130" i="1"/>
  <c r="M129" i="1"/>
  <c r="M127" i="1"/>
  <c r="M126" i="1"/>
  <c r="L116" i="1"/>
  <c r="K116" i="1"/>
  <c r="M115" i="1"/>
  <c r="M114" i="1"/>
  <c r="M113" i="1"/>
  <c r="M112" i="1"/>
  <c r="M111" i="1"/>
  <c r="L133" i="1" l="1"/>
  <c r="K133" i="1"/>
  <c r="L9" i="1"/>
  <c r="L7" i="1"/>
  <c r="L5" i="1"/>
  <c r="K9" i="1"/>
  <c r="K7" i="1"/>
  <c r="K5" i="1"/>
  <c r="K95" i="1"/>
  <c r="K93" i="1"/>
  <c r="L93" i="1"/>
  <c r="L95" i="1"/>
  <c r="L96" i="1" l="1"/>
  <c r="K96" i="1"/>
  <c r="M84" i="1" l="1"/>
  <c r="M86" i="1" l="1"/>
  <c r="M87" i="1"/>
  <c r="K81" i="1"/>
  <c r="L81" i="1"/>
  <c r="L102" i="1" l="1"/>
  <c r="K102" i="1"/>
  <c r="M101" i="1"/>
  <c r="M100" i="1"/>
  <c r="M99" i="1"/>
  <c r="M98" i="1"/>
  <c r="M97" i="1"/>
  <c r="L91" i="1"/>
  <c r="K91" i="1"/>
  <c r="M90" i="1"/>
  <c r="M89" i="1"/>
  <c r="M88" i="1"/>
  <c r="M80" i="1" l="1"/>
  <c r="M79" i="1"/>
  <c r="M78" i="1"/>
  <c r="M77" i="1"/>
  <c r="M76" i="1"/>
  <c r="L75" i="1" l="1"/>
  <c r="K75" i="1"/>
  <c r="M74" i="1"/>
  <c r="M73" i="1"/>
  <c r="M72" i="1"/>
  <c r="M71" i="1"/>
  <c r="M70" i="1"/>
  <c r="K69" i="1" l="1"/>
  <c r="K103" i="1" s="1"/>
  <c r="M66" i="1" l="1"/>
  <c r="L69" i="1"/>
  <c r="L103" i="1" s="1"/>
  <c r="M68" i="1"/>
  <c r="M67" i="1"/>
  <c r="M65" i="1"/>
  <c r="M64" i="1"/>
  <c r="M63" i="1"/>
  <c r="L60" i="1"/>
  <c r="K60" i="1"/>
  <c r="M58" i="1"/>
  <c r="M57" i="1"/>
  <c r="M56" i="1"/>
  <c r="M55" i="1"/>
  <c r="L54" i="1" l="1"/>
  <c r="K54" i="1"/>
  <c r="M53" i="1"/>
  <c r="M52" i="1"/>
  <c r="M51" i="1"/>
  <c r="M50" i="1"/>
  <c r="M49" i="1"/>
  <c r="K10" i="1" l="1"/>
  <c r="L48" i="1"/>
  <c r="K48" i="1"/>
  <c r="M47" i="1"/>
  <c r="M46" i="1"/>
  <c r="M45" i="1"/>
  <c r="M44" i="1"/>
  <c r="M43" i="1"/>
  <c r="L42" i="1" l="1"/>
  <c r="L61" i="1" s="1"/>
  <c r="K42" i="1"/>
  <c r="K61" i="1" s="1"/>
  <c r="M41" i="1"/>
  <c r="M40" i="1"/>
  <c r="M39" i="1"/>
  <c r="M38" i="1"/>
  <c r="M37" i="1"/>
  <c r="M29" i="1" l="1"/>
  <c r="M33" i="1"/>
  <c r="M32" i="1"/>
  <c r="M31" i="1"/>
  <c r="M30" i="1"/>
  <c r="L34" i="1"/>
  <c r="K34" i="1"/>
  <c r="M21" i="1" l="1"/>
  <c r="M27" i="1" l="1"/>
  <c r="M25" i="1"/>
  <c r="L28" i="1"/>
  <c r="K28" i="1"/>
  <c r="M26" i="1"/>
  <c r="M24" i="1"/>
  <c r="M23" i="1"/>
  <c r="L10" i="1" l="1"/>
  <c r="M5" i="1"/>
  <c r="M9" i="1"/>
  <c r="M7" i="1" l="1"/>
  <c r="L22" i="1" l="1"/>
  <c r="K22" i="1"/>
  <c r="L16" i="1"/>
  <c r="K16" i="1"/>
  <c r="K35" i="1" l="1"/>
  <c r="L36" i="1"/>
  <c r="L35" i="1"/>
  <c r="K36" i="1"/>
  <c r="K62" i="1" s="1"/>
  <c r="K104" i="1" s="1"/>
  <c r="K134" i="1" s="1"/>
  <c r="K160" i="1" s="1"/>
  <c r="K197" i="1" s="1"/>
  <c r="K234" i="1" s="1"/>
  <c r="K266" i="1" s="1"/>
  <c r="K295" i="1" s="1"/>
  <c r="K324" i="1" s="1"/>
  <c r="M20" i="1"/>
  <c r="M19" i="1"/>
  <c r="M18" i="1"/>
  <c r="M17" i="1"/>
  <c r="M14" i="1"/>
  <c r="M12" i="1"/>
  <c r="M11" i="1"/>
  <c r="L62" i="1" l="1"/>
  <c r="L104" i="1" s="1"/>
  <c r="L134" i="1" s="1"/>
  <c r="L160" i="1" s="1"/>
  <c r="L197" i="1" s="1"/>
  <c r="L234" i="1" s="1"/>
  <c r="L266" i="1" s="1"/>
  <c r="L295" i="1" s="1"/>
  <c r="L324" i="1" s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/>
  <c r="R48" i="5"/>
  <c r="R63" i="5"/>
  <c r="R31" i="5" l="1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<sst xmlns="http://schemas.openxmlformats.org/spreadsheetml/2006/main" count="825" uniqueCount="256">
  <si>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</si>
  <si>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</si>
  <si>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</si>
  <si>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</si>
  <si>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</si>
  <si>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</si>
  <si>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</si>
  <si>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</si>
  <si>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</si>
  <si>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</si>
  <si>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</si>
  <si>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</si>
  <si>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</si>
  <si>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</si>
  <si>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</si>
  <si>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</si>
  <si>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</si>
  <si>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</si>
  <si>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</si>
  <si>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</si>
  <si>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</si>
  <si>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</si>
  <si>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</si>
  <si>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</si>
  <si>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</si>
  <si>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</si>
  <si>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</si>
  <si>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</si>
  <si>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</si>
  <si>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</si>
  <si>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</si>
  <si>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</si>
  <si>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</si>
  <si>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</si>
  <si>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</si>
  <si>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</si>
  <si>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</si>
  <si>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</si>
  <si>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</si>
  <si>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</si>
  <si>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</si>
  <si>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</si>
  <si>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</si>
  <si>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</si>
  <si>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</si>
  <si>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</si>
  <si>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</si>
  <si>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</si>
  <si>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</si>
  <si>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</si>
  <si>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</si>
  <si>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</si>
  <si>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</si>
  <si>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</si>
  <si>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</si>
  <si>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</si>
  <si>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</si>
  <si>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</si>
  <si>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</si>
  <si>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</si>
  <si>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</si>
  <si>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</si>
  <si>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</si>
  <si>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</si>
  <si>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</si>
  <si>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</si>
  <si>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</si>
  <si>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</si>
  <si>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</si>
  <si>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</si>
  <si>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</si>
  <si>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</si>
  <si>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</si>
  <si>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</si>
  <si>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</si>
  <si>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</si>
  <si>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</si>
  <si>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</si>
  <si>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</si>
  <si>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</si>
  <si>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</si>
  <si>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</si>
  <si>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</si>
  <si>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</si>
  <si>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</si>
  <si>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</si>
  <si>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</si>
  <si>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</si>
  <si>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</si>
  <si>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</si>
  <si>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</si>
  <si>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</si>
  <si>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</si>
  <si>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</si>
  <si>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</si>
  <si>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</si>
  <si>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</si>
  <si>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</si>
  <si>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</si>
  <si>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</si>
  <si>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</si>
  <si>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</si>
  <si>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</si>
  <si>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</si>
  <si>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</si>
  <si>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</si>
  <si>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</si>
  <si>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</si>
  <si>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</si>
  <si>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</si>
  <si>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</si>
  <si>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</si>
  <si>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</si>
  <si>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</si>
  <si>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</si>
  <si>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</si>
  <si>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</si>
  <si>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</si>
  <si>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</si>
  <si>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</si>
  <si>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</si>
  <si>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FR0072</t>
  </si>
  <si>
    <t>PBS011</t>
  </si>
  <si>
    <t>PBS012</t>
  </si>
  <si>
    <t>T o t a l</t>
  </si>
  <si>
    <t>USD1.250.000</t>
  </si>
  <si>
    <t>Bookbuilding</t>
  </si>
  <si>
    <t>Lelang</t>
  </si>
  <si>
    <r>
      <t>T o t a l (</t>
    </r>
    <r>
      <rPr>
        <b/>
        <i/>
        <sz val="8"/>
        <rFont val="Arial"/>
        <family val="2"/>
      </rPr>
      <t>Pre-funding</t>
    </r>
    <r>
      <rPr>
        <b/>
        <sz val="8"/>
        <rFont val="Arial"/>
        <family val="2"/>
      </rPr>
      <t>) (1)</t>
    </r>
  </si>
  <si>
    <t>Tanggal Lelang/
Pricing Date</t>
  </si>
  <si>
    <t>Tanggal Setelmen/Settlement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</si>
  <si>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</si>
  <si>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</si>
  <si>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</si>
  <si>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</si>
  <si>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</si>
  <si>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Total Penawaran Diterima/ Awarded Bid</t>
  </si>
  <si>
    <t>USD750.000</t>
  </si>
  <si>
    <t>Diskonto</t>
  </si>
  <si>
    <t>Nominal Dalam Juta Rupiah</t>
  </si>
  <si>
    <t>FR0074</t>
  </si>
  <si>
    <t>Ringkasan Hasil Penerbitan Surat Berharga Negara / Summary Result of Government Securities Issuance - Tahun 2017 (juta rupiah)</t>
  </si>
  <si>
    <t>RI0122</t>
  </si>
  <si>
    <t>RI0127</t>
  </si>
  <si>
    <t>RI0147</t>
  </si>
  <si>
    <t>USD1.500.000</t>
  </si>
  <si>
    <t>SPN03170404</t>
  </si>
  <si>
    <t>SPN12180104</t>
  </si>
  <si>
    <t>SPN03170418</t>
  </si>
  <si>
    <t>SPNS11072017</t>
  </si>
  <si>
    <t>PBS013</t>
  </si>
  <si>
    <t>PBS014</t>
  </si>
  <si>
    <t>SPN03170501</t>
  </si>
  <si>
    <t>SPN12180201</t>
  </si>
  <si>
    <t>SPNS08082017</t>
  </si>
  <si>
    <t>USD5.200.000</t>
  </si>
  <si>
    <t>USD3.500.000</t>
  </si>
  <si>
    <t>USD3.300.000</t>
  </si>
  <si>
    <t>SPN03170515</t>
  </si>
  <si>
    <t>SPN03170601</t>
  </si>
  <si>
    <t>SPN12180301</t>
  </si>
  <si>
    <t>FR0067</t>
  </si>
  <si>
    <t>SPNS08092017</t>
  </si>
  <si>
    <t>SPN03170615</t>
  </si>
  <si>
    <t>SPN03170629</t>
  </si>
  <si>
    <t>Private Placement</t>
  </si>
  <si>
    <t>SDHI2020E</t>
  </si>
  <si>
    <t>SR-009</t>
  </si>
  <si>
    <t>SNI0322</t>
  </si>
  <si>
    <t>SNI0327</t>
  </si>
  <si>
    <t>USD5.974.605</t>
  </si>
  <si>
    <t>USD4.866.515</t>
  </si>
  <si>
    <t>USD1.000.000</t>
  </si>
  <si>
    <t>USD2.000.000</t>
  </si>
  <si>
    <t>SPNS05102017</t>
  </si>
  <si>
    <t>SPN03170712</t>
  </si>
  <si>
    <t>SPN03170726</t>
  </si>
  <si>
    <t>EURFRNT0001</t>
  </si>
  <si>
    <t>EUR50.000.000</t>
  </si>
  <si>
    <t>SPNS03112017</t>
  </si>
  <si>
    <t>SPN03170811</t>
  </si>
  <si>
    <t>SPN12180511</t>
  </si>
  <si>
    <t>SPN03170825</t>
  </si>
  <si>
    <t>SPNS01122017</t>
  </si>
  <si>
    <t>PBS009</t>
  </si>
  <si>
    <t>SPN03170907</t>
  </si>
  <si>
    <t>SPN12180607</t>
  </si>
  <si>
    <t>RIJPY0620</t>
  </si>
  <si>
    <t>RIJPY0622</t>
  </si>
  <si>
    <t>RIJPY0624</t>
  </si>
  <si>
    <t>JPY40.000.000.000</t>
  </si>
  <si>
    <t>JPY50.000.000.000</t>
  </si>
  <si>
    <t>JPY10.000.000.000</t>
  </si>
  <si>
    <t>SPN03170921</t>
  </si>
  <si>
    <t>-</t>
  </si>
  <si>
    <t xml:space="preserve"> -</t>
  </si>
  <si>
    <t>SPNS05012018</t>
  </si>
  <si>
    <t>SPN12171012</t>
  </si>
  <si>
    <t>SPN12180712</t>
  </si>
  <si>
    <t>PBS005</t>
  </si>
  <si>
    <t>PBS015</t>
  </si>
  <si>
    <t>SPNS02022018</t>
  </si>
  <si>
    <t>G r a n d   T o t a l   b u l a n   A g u s t u s   2 0 1 7</t>
  </si>
  <si>
    <t>G r a n d   T o t a l   s . d .   J u l i   2 0 1 7</t>
  </si>
  <si>
    <t>G r a n d   T o t a l   b u l a n   J u l i   2 0 1 7</t>
  </si>
  <si>
    <t>G r a n d   T o t a l   s . d .   J u n i   2 0 1 7</t>
  </si>
  <si>
    <t>G r a n d   T o t a l   b u l a n   J u n i   2 0 1 7</t>
  </si>
  <si>
    <t>G r a n d   T o t a l   b u l a n   M e i   2 0 1 7</t>
  </si>
  <si>
    <t>G r a n d   T o t a l   s . d .   M e i   2 0 1 7</t>
  </si>
  <si>
    <t>G r a n d   T o t a l   s . d .   A p r i l   2 0 1 7</t>
  </si>
  <si>
    <t>G r a n d   T o t a l   b u l a n   A p r i l   2 0 1 7</t>
  </si>
  <si>
    <t>G r a n d   T o t a l   s . d .   M a r e t   2 0 1 7</t>
  </si>
  <si>
    <t>G r a n d   T o t a l   b u l a n   M a r e t   2 0 1 7</t>
  </si>
  <si>
    <t>G r a n d   T o t a l   s . d .   F e b r u a r i   2 0 1 7</t>
  </si>
  <si>
    <t>G r a n d   T o t a l   b u l a n   F e b r u a r i   2 0 1 7</t>
  </si>
  <si>
    <t>G r a n d   T o t a l   s . d .   J a n u a r i   2 0 1 7</t>
  </si>
  <si>
    <t>G r a n d   T o t a l   b u l a n   J a n u a r i   2 0 1 7</t>
  </si>
  <si>
    <t>SPN03171026</t>
  </si>
  <si>
    <t>SPN12180412</t>
  </si>
  <si>
    <t>RIEUR0724</t>
  </si>
  <si>
    <t>RI0727</t>
  </si>
  <si>
    <t>RI0747</t>
  </si>
  <si>
    <t>EUR1.000.000.000</t>
  </si>
  <si>
    <t>SPN12171109</t>
  </si>
  <si>
    <t>SPN12180809</t>
  </si>
  <si>
    <t>FR0075</t>
  </si>
  <si>
    <t>SPN03171123</t>
  </si>
  <si>
    <t>PBS016</t>
  </si>
  <si>
    <t>G r a n d   T o t a l   b u l a n   S e p t e m b e r   2 0 1 7</t>
  </si>
  <si>
    <t>G r a n d   T o t a l   s . d .   A g u s t u s   2 0 1 7</t>
  </si>
  <si>
    <t>SPN12171207</t>
  </si>
  <si>
    <t>SPN12180906</t>
  </si>
  <si>
    <t>SPNS13032018</t>
  </si>
  <si>
    <t>SPN03171221</t>
  </si>
  <si>
    <t>FR0076</t>
  </si>
  <si>
    <t>SPN12181004</t>
  </si>
  <si>
    <t>G r a n d   T o t a l   b u l a n   O k t o b e r   2 0 1 7</t>
  </si>
  <si>
    <t>SPNS11042018</t>
  </si>
  <si>
    <t>SPN03180118</t>
  </si>
  <si>
    <t>G r a n d   T o t a l   s . d .  2 6   O k t o b e r   2 0 1 7</t>
  </si>
  <si>
    <t>G r a n d   T o t a l   s . d .   2 8   S e p t e m b e r  2 0 1 7</t>
  </si>
  <si>
    <t>G r a n d   T o t a l   b u l a n   N o v e m b e r   2 0 1 7</t>
  </si>
  <si>
    <t>SPNS08052018</t>
  </si>
  <si>
    <t>ORI014</t>
  </si>
  <si>
    <t>SPN03180215</t>
  </si>
  <si>
    <t>SPN12181115</t>
  </si>
  <si>
    <t>G r a n d   T o t a l   s . d .  30  N o v e m b e r  2 0 1 7</t>
  </si>
  <si>
    <t>SPNNT20180328</t>
  </si>
  <si>
    <t>G r a n d   T o t a l   b u l a n  D e s e m b e r 2 0 1 7</t>
  </si>
  <si>
    <t>G r a n d   T o t a l   s . d .  31 D e s e m b e r  2 0 1 7</t>
  </si>
  <si>
    <t>ON</t>
  </si>
  <si>
    <t>PP (ON)</t>
  </si>
  <si>
    <t>PP (SPN)</t>
  </si>
  <si>
    <t>Total SPN</t>
  </si>
  <si>
    <t>Total ON</t>
  </si>
  <si>
    <t>SUN Ritel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</si>
</sst>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0000%"/>
    <numFmt numFmtId="168" formatCode="_(* #,##0_);_(* \(#,##0\);_(* &quot;-&quot;??_);_(@_)"/>
    <numFmt numFmtId="169" formatCode="[$-409]d\-mmm;@"/>
    <numFmt numFmtId="170" formatCode="[$-409]d\-mmm\-yy;@"/>
    <numFmt numFmtId="171" formatCode="_-* #,##0.00000_-;\-* #,##0.0000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308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" fontId="20" fillId="0" borderId="13" xfId="0" applyNumberFormat="1" applyFont="1" applyBorder="1" applyAlignment="1">
      <alignment horizontal="right"/>
    </xf>
    <xf numFmtId="16" fontId="20" fillId="0" borderId="0" xfId="0" applyNumberFormat="1" applyFont="1" applyBorder="1" applyAlignment="1">
      <alignment horizontal="right"/>
    </xf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10" fontId="20" fillId="0" borderId="17" xfId="29" applyNumberFormat="1" applyFont="1" applyBorder="1" applyAlignment="1"/>
    <xf numFmtId="10" fontId="20" fillId="0" borderId="15" xfId="29" applyNumberFormat="1" applyFont="1" applyBorder="1" applyAlignment="1"/>
    <xf numFmtId="164" fontId="20" fillId="0" borderId="15" xfId="29" applyFont="1" applyBorder="1" applyAlignment="1"/>
    <xf numFmtId="164" fontId="20" fillId="0" borderId="16" xfId="29" applyFont="1" applyBorder="1" applyAlignment="1"/>
    <xf numFmtId="164" fontId="20" fillId="0" borderId="18" xfId="29" applyFont="1" applyBorder="1" applyAlignment="1"/>
    <xf numFmtId="0" fontId="20" fillId="0" borderId="13" xfId="0" applyNumberFormat="1" applyFont="1" applyBorder="1" applyAlignment="1"/>
    <xf numFmtId="0" fontId="20" fillId="0" borderId="0" xfId="0" applyNumberFormat="1" applyFont="1" applyBorder="1" applyAlignment="1"/>
    <xf numFmtId="0" fontId="21" fillId="0" borderId="14" xfId="0" applyFont="1" applyBorder="1" applyAlignment="1"/>
    <xf numFmtId="15" fontId="21" fillId="0" borderId="15" xfId="0" applyNumberFormat="1" applyFont="1" applyBorder="1" applyAlignment="1"/>
    <xf numFmtId="10" fontId="21" fillId="0" borderId="16" xfId="41" applyNumberFormat="1" applyFont="1" applyBorder="1" applyAlignment="1"/>
    <xf numFmtId="0" fontId="21" fillId="0" borderId="15" xfId="0" applyFont="1" applyBorder="1" applyAlignment="1"/>
    <xf numFmtId="164" fontId="21" fillId="0" borderId="15" xfId="29" applyFont="1" applyBorder="1" applyAlignment="1"/>
    <xf numFmtId="164" fontId="21" fillId="0" borderId="16" xfId="29" applyFont="1" applyBorder="1" applyAlignment="1"/>
    <xf numFmtId="164" fontId="21" fillId="0" borderId="14" xfId="29" applyFont="1" applyBorder="1" applyAlignment="1"/>
    <xf numFmtId="164" fontId="21" fillId="0" borderId="18" xfId="29" applyFont="1" applyBorder="1" applyAlignment="1"/>
    <xf numFmtId="9" fontId="21" fillId="0" borderId="16" xfId="41" applyFont="1" applyBorder="1" applyAlignment="1"/>
    <xf numFmtId="167" fontId="21" fillId="0" borderId="16" xfId="41" applyNumberFormat="1" applyFont="1" applyBorder="1" applyAlignment="1"/>
    <xf numFmtId="167" fontId="21" fillId="0" borderId="15" xfId="0" applyNumberFormat="1" applyFont="1" applyBorder="1" applyAlignment="1"/>
    <xf numFmtId="165" fontId="21" fillId="0" borderId="0" xfId="28" applyFont="1"/>
    <xf numFmtId="16" fontId="20" fillId="0" borderId="19" xfId="0" applyNumberFormat="1" applyFont="1" applyBorder="1" applyAlignment="1">
      <alignment horizontal="right"/>
    </xf>
    <xf numFmtId="16" fontId="20" fillId="0" borderId="20" xfId="0" applyNumberFormat="1" applyFont="1" applyBorder="1" applyAlignment="1">
      <alignment horizontal="right"/>
    </xf>
    <xf numFmtId="0" fontId="20" fillId="0" borderId="21" xfId="0" applyFont="1" applyBorder="1"/>
    <xf numFmtId="15" fontId="20" fillId="0" borderId="10" xfId="0" applyNumberFormat="1" applyFont="1" applyBorder="1"/>
    <xf numFmtId="10" fontId="20" fillId="0" borderId="11" xfId="41" applyNumberFormat="1" applyFont="1" applyBorder="1"/>
    <xf numFmtId="10" fontId="20" fillId="0" borderId="10" xfId="29" applyNumberFormat="1" applyFont="1" applyBorder="1"/>
    <xf numFmtId="164" fontId="20" fillId="0" borderId="10" xfId="29" applyFont="1" applyBorder="1"/>
    <xf numFmtId="166" fontId="20" fillId="0" borderId="12" xfId="29" applyNumberFormat="1" applyFont="1" applyFill="1" applyBorder="1" applyAlignment="1">
      <alignment horizontal="center"/>
    </xf>
    <xf numFmtId="164" fontId="20" fillId="0" borderId="11" xfId="29" applyFont="1" applyBorder="1"/>
    <xf numFmtId="164" fontId="21" fillId="0" borderId="0" xfId="0" applyNumberFormat="1" applyFont="1"/>
    <xf numFmtId="0" fontId="21" fillId="0" borderId="0" xfId="0" applyNumberFormat="1" applyFont="1"/>
    <xf numFmtId="0" fontId="21" fillId="0" borderId="22" xfId="0" applyFont="1" applyBorder="1" applyAlignment="1">
      <alignment horizontal="center" vertical="center" wrapText="1"/>
    </xf>
    <xf numFmtId="164" fontId="21" fillId="24" borderId="22" xfId="0" applyNumberFormat="1" applyFont="1" applyFill="1" applyBorder="1"/>
    <xf numFmtId="9" fontId="21" fillId="0" borderId="0" xfId="41" applyFont="1"/>
    <xf numFmtId="0" fontId="20" fillId="25" borderId="22" xfId="0" applyFont="1" applyFill="1" applyBorder="1"/>
    <xf numFmtId="164" fontId="20" fillId="25" borderId="22" xfId="0" applyNumberFormat="1" applyFont="1" applyFill="1" applyBorder="1"/>
    <xf numFmtId="166" fontId="21" fillId="0" borderId="18" xfId="29" applyNumberFormat="1" applyFont="1" applyBorder="1" applyAlignment="1"/>
    <xf numFmtId="164" fontId="21" fillId="24" borderId="22" xfId="0" applyNumberFormat="1" applyFont="1" applyFill="1" applyBorder="1" applyAlignment="1">
      <alignment horizontal="left"/>
    </xf>
    <xf numFmtId="164" fontId="21" fillId="0" borderId="22" xfId="0" applyNumberFormat="1" applyFont="1" applyFill="1" applyBorder="1" applyAlignment="1">
      <alignment horizontal="left"/>
    </xf>
    <xf numFmtId="164" fontId="21" fillId="0" borderId="22" xfId="0" applyNumberFormat="1" applyFont="1" applyFill="1" applyBorder="1"/>
    <xf numFmtId="165" fontId="21" fillId="0" borderId="16" xfId="28" applyFont="1" applyBorder="1" applyAlignment="1"/>
    <xf numFmtId="164" fontId="20" fillId="0" borderId="22" xfId="0" applyNumberFormat="1" applyFont="1" applyFill="1" applyBorder="1" applyAlignment="1">
      <alignment horizontal="left"/>
    </xf>
    <xf numFmtId="164" fontId="20" fillId="0" borderId="22" xfId="0" applyNumberFormat="1" applyFont="1" applyFill="1" applyBorder="1"/>
    <xf numFmtId="0" fontId="21" fillId="0" borderId="0" xfId="0" applyFont="1" applyBorder="1" applyAlignment="1">
      <alignment horizontal="center" vertical="center" wrapText="1"/>
    </xf>
    <xf numFmtId="164" fontId="20" fillId="0" borderId="0" xfId="29" applyFont="1" applyBorder="1" applyAlignment="1"/>
    <xf numFmtId="9" fontId="21" fillId="0" borderId="0" xfId="41" applyFont="1" applyBorder="1" applyAlignment="1"/>
    <xf numFmtId="10" fontId="21" fillId="0" borderId="0" xfId="41" applyNumberFormat="1" applyFont="1" applyBorder="1" applyAlignment="1"/>
    <xf numFmtId="165" fontId="21" fillId="0" borderId="0" xfId="0" applyNumberFormat="1" applyFont="1"/>
    <xf numFmtId="10" fontId="21" fillId="0" borderId="0" xfId="0" applyNumberFormat="1" applyFont="1"/>
    <xf numFmtId="0" fontId="20" fillId="0" borderId="0" xfId="0" applyFont="1" applyAlignment="1">
      <alignment vertical="top"/>
    </xf>
    <xf numFmtId="169" fontId="21" fillId="0" borderId="23" xfId="0" applyNumberFormat="1" applyFont="1" applyBorder="1" applyAlignment="1"/>
    <xf numFmtId="169" fontId="21" fillId="0" borderId="15" xfId="0" applyNumberFormat="1" applyFont="1" applyBorder="1" applyAlignment="1"/>
    <xf numFmtId="165" fontId="21" fillId="0" borderId="0" xfId="41" applyNumberFormat="1" applyFont="1"/>
    <xf numFmtId="0" fontId="21" fillId="0" borderId="24" xfId="0" applyFont="1" applyBorder="1" applyAlignment="1">
      <alignment horizontal="center" vertical="center" wrapText="1"/>
    </xf>
    <xf numFmtId="0" fontId="21" fillId="0" borderId="14" xfId="0" applyFont="1" applyFill="1" applyBorder="1" applyAlignment="1"/>
    <xf numFmtId="15" fontId="21" fillId="0" borderId="15" xfId="0" applyNumberFormat="1" applyFont="1" applyFill="1" applyBorder="1" applyAlignment="1"/>
    <xf numFmtId="167" fontId="21" fillId="0" borderId="16" xfId="41" applyNumberFormat="1" applyFont="1" applyFill="1" applyBorder="1" applyAlignment="1"/>
    <xf numFmtId="167" fontId="21" fillId="0" borderId="15" xfId="0" applyNumberFormat="1" applyFont="1" applyFill="1" applyBorder="1" applyAlignment="1"/>
    <xf numFmtId="164" fontId="21" fillId="0" borderId="15" xfId="29" applyFont="1" applyFill="1" applyBorder="1" applyAlignment="1"/>
    <xf numFmtId="166" fontId="21" fillId="0" borderId="18" xfId="29" applyNumberFormat="1" applyFont="1" applyFill="1" applyBorder="1" applyAlignment="1"/>
    <xf numFmtId="10" fontId="21" fillId="0" borderId="25" xfId="41" applyNumberFormat="1" applyFont="1" applyFill="1" applyBorder="1" applyAlignment="1"/>
    <xf numFmtId="0" fontId="21" fillId="0" borderId="0" xfId="0" applyFont="1" applyFill="1"/>
    <xf numFmtId="169" fontId="21" fillId="0" borderId="26" xfId="0" applyNumberFormat="1" applyFont="1" applyFill="1" applyBorder="1" applyAlignment="1"/>
    <xf numFmtId="169" fontId="21" fillId="0" borderId="23" xfId="0" applyNumberFormat="1" applyFont="1" applyFill="1" applyBorder="1" applyAlignment="1"/>
    <xf numFmtId="169" fontId="21" fillId="0" borderId="15" xfId="0" applyNumberFormat="1" applyFont="1" applyFill="1" applyBorder="1" applyAlignment="1"/>
    <xf numFmtId="165" fontId="21" fillId="0" borderId="16" xfId="28" applyFont="1" applyFill="1" applyBorder="1" applyAlignment="1"/>
    <xf numFmtId="169" fontId="21" fillId="0" borderId="27" xfId="0" applyNumberFormat="1" applyFont="1" applyFill="1" applyBorder="1" applyAlignment="1"/>
    <xf numFmtId="0" fontId="21" fillId="0" borderId="28" xfId="0" applyFont="1" applyFill="1" applyBorder="1" applyAlignment="1"/>
    <xf numFmtId="15" fontId="21" fillId="0" borderId="26" xfId="0" applyNumberFormat="1" applyFont="1" applyFill="1" applyBorder="1" applyAlignment="1"/>
    <xf numFmtId="167" fontId="21" fillId="0" borderId="26" xfId="41" applyNumberFormat="1" applyFont="1" applyFill="1" applyBorder="1" applyAlignment="1"/>
    <xf numFmtId="167" fontId="21" fillId="0" borderId="29" xfId="41" applyNumberFormat="1" applyFont="1" applyFill="1" applyBorder="1" applyAlignment="1"/>
    <xf numFmtId="167" fontId="21" fillId="0" borderId="26" xfId="0" applyNumberFormat="1" applyFont="1" applyFill="1" applyBorder="1" applyAlignment="1"/>
    <xf numFmtId="164" fontId="21" fillId="0" borderId="26" xfId="29" applyFont="1" applyFill="1" applyBorder="1" applyAlignment="1"/>
    <xf numFmtId="164" fontId="21" fillId="0" borderId="26" xfId="29" applyFont="1" applyFill="1" applyBorder="1" applyAlignment="1">
      <alignment horizontal="right"/>
    </xf>
    <xf numFmtId="166" fontId="21" fillId="0" borderId="30" xfId="29" applyNumberFormat="1" applyFont="1" applyFill="1" applyBorder="1" applyAlignment="1"/>
    <xf numFmtId="10" fontId="21" fillId="0" borderId="31" xfId="41" applyNumberFormat="1" applyFont="1" applyFill="1" applyBorder="1" applyAlignment="1"/>
    <xf numFmtId="168" fontId="21" fillId="0" borderId="0" xfId="28" applyNumberFormat="1" applyFont="1"/>
    <xf numFmtId="165" fontId="20" fillId="0" borderId="0" xfId="28" applyFont="1" applyBorder="1"/>
    <xf numFmtId="169" fontId="21" fillId="0" borderId="0" xfId="0" applyNumberFormat="1" applyFont="1" applyBorder="1" applyAlignment="1"/>
    <xf numFmtId="169" fontId="21" fillId="26" borderId="23" xfId="0" applyNumberFormat="1" applyFont="1" applyFill="1" applyBorder="1" applyAlignment="1"/>
    <xf numFmtId="169" fontId="21" fillId="26" borderId="15" xfId="0" applyNumberFormat="1" applyFont="1" applyFill="1" applyBorder="1" applyAlignment="1"/>
    <xf numFmtId="0" fontId="21" fillId="26" borderId="14" xfId="0" applyFont="1" applyFill="1" applyBorder="1" applyAlignment="1"/>
    <xf numFmtId="15" fontId="21" fillId="26" borderId="15" xfId="0" applyNumberFormat="1" applyFont="1" applyFill="1" applyBorder="1" applyAlignment="1"/>
    <xf numFmtId="165" fontId="21" fillId="26" borderId="16" xfId="28" applyFont="1" applyFill="1" applyBorder="1" applyAlignment="1"/>
    <xf numFmtId="167" fontId="21" fillId="26" borderId="16" xfId="41" applyNumberFormat="1" applyFont="1" applyFill="1" applyBorder="1" applyAlignment="1"/>
    <xf numFmtId="167" fontId="21" fillId="26" borderId="15" xfId="0" applyNumberFormat="1" applyFont="1" applyFill="1" applyBorder="1" applyAlignment="1"/>
    <xf numFmtId="164" fontId="21" fillId="26" borderId="15" xfId="29" applyFont="1" applyFill="1" applyBorder="1" applyAlignment="1"/>
    <xf numFmtId="166" fontId="21" fillId="26" borderId="18" xfId="29" applyNumberFormat="1" applyFont="1" applyFill="1" applyBorder="1" applyAlignment="1"/>
    <xf numFmtId="10" fontId="21" fillId="26" borderId="0" xfId="41" applyNumberFormat="1" applyFont="1" applyFill="1" applyBorder="1" applyAlignment="1"/>
    <xf numFmtId="169" fontId="21" fillId="26" borderId="0" xfId="0" applyNumberFormat="1" applyFont="1" applyFill="1" applyBorder="1" applyAlignment="1"/>
    <xf numFmtId="0" fontId="20" fillId="26" borderId="13" xfId="0" applyNumberFormat="1" applyFont="1" applyFill="1" applyBorder="1" applyAlignment="1"/>
    <xf numFmtId="0" fontId="20" fillId="26" borderId="0" xfId="0" applyNumberFormat="1" applyFont="1" applyFill="1" applyBorder="1" applyAlignment="1"/>
    <xf numFmtId="10" fontId="21" fillId="0" borderId="0" xfId="41" applyNumberFormat="1" applyFont="1"/>
    <xf numFmtId="10" fontId="21" fillId="0" borderId="16" xfId="28" applyNumberFormat="1" applyFont="1" applyBorder="1" applyAlignment="1"/>
    <xf numFmtId="167" fontId="21" fillId="0" borderId="16" xfId="28" applyNumberFormat="1" applyFont="1" applyBorder="1" applyAlignment="1"/>
    <xf numFmtId="10" fontId="21" fillId="27" borderId="0" xfId="41" applyNumberFormat="1" applyFont="1" applyFill="1" applyBorder="1" applyAlignment="1"/>
    <xf numFmtId="165" fontId="21" fillId="27" borderId="0" xfId="0" applyNumberFormat="1" applyFont="1" applyFill="1"/>
    <xf numFmtId="0" fontId="21" fillId="27" borderId="0" xfId="0" applyFont="1" applyFill="1"/>
    <xf numFmtId="10" fontId="21" fillId="0" borderId="0" xfId="41" applyNumberFormat="1" applyFont="1" applyFill="1" applyBorder="1" applyAlignment="1"/>
    <xf numFmtId="0" fontId="20" fillId="0" borderId="13" xfId="0" applyNumberFormat="1" applyFont="1" applyFill="1" applyBorder="1" applyAlignment="1"/>
    <xf numFmtId="169" fontId="21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166" fontId="22" fillId="0" borderId="30" xfId="29" applyNumberFormat="1" applyFont="1" applyFill="1" applyBorder="1" applyAlignment="1"/>
    <xf numFmtId="164" fontId="21" fillId="0" borderId="26" xfId="29" applyFont="1" applyBorder="1" applyAlignment="1"/>
    <xf numFmtId="167" fontId="21" fillId="0" borderId="14" xfId="0" applyNumberFormat="1" applyFont="1" applyFill="1" applyBorder="1" applyAlignment="1"/>
    <xf numFmtId="167" fontId="21" fillId="0" borderId="28" xfId="0" applyNumberFormat="1" applyFont="1" applyFill="1" applyBorder="1" applyAlignment="1"/>
    <xf numFmtId="0" fontId="21" fillId="0" borderId="22" xfId="0" applyFont="1" applyBorder="1"/>
    <xf numFmtId="164" fontId="20" fillId="0" borderId="22" xfId="29" applyFont="1" applyBorder="1"/>
    <xf numFmtId="164" fontId="21" fillId="0" borderId="22" xfId="0" applyNumberFormat="1" applyFont="1" applyBorder="1"/>
    <xf numFmtId="10" fontId="21" fillId="0" borderId="22" xfId="41" applyNumberFormat="1" applyFont="1" applyBorder="1"/>
    <xf numFmtId="10" fontId="21" fillId="0" borderId="22" xfId="0" applyNumberFormat="1" applyFont="1" applyBorder="1"/>
    <xf numFmtId="10" fontId="21" fillId="25" borderId="0" xfId="41" applyNumberFormat="1" applyFont="1" applyFill="1" applyBorder="1" applyAlignment="1"/>
    <xf numFmtId="165" fontId="21" fillId="25" borderId="0" xfId="0" applyNumberFormat="1" applyFont="1" applyFill="1"/>
    <xf numFmtId="0" fontId="21" fillId="25" borderId="0" xfId="0" applyFont="1" applyFill="1"/>
    <xf numFmtId="169" fontId="21" fillId="26" borderId="27" xfId="0" applyNumberFormat="1" applyFont="1" applyFill="1" applyBorder="1" applyAlignment="1"/>
    <xf numFmtId="0" fontId="21" fillId="26" borderId="28" xfId="0" applyFont="1" applyFill="1" applyBorder="1" applyAlignment="1"/>
    <xf numFmtId="15" fontId="21" fillId="26" borderId="26" xfId="0" applyNumberFormat="1" applyFont="1" applyFill="1" applyBorder="1" applyAlignment="1"/>
    <xf numFmtId="165" fontId="21" fillId="26" borderId="29" xfId="28" applyFont="1" applyFill="1" applyBorder="1" applyAlignment="1"/>
    <xf numFmtId="167" fontId="21" fillId="26" borderId="29" xfId="41" applyNumberFormat="1" applyFont="1" applyFill="1" applyBorder="1" applyAlignment="1"/>
    <xf numFmtId="167" fontId="21" fillId="26" borderId="26" xfId="0" applyNumberFormat="1" applyFont="1" applyFill="1" applyBorder="1" applyAlignment="1"/>
    <xf numFmtId="164" fontId="21" fillId="26" borderId="26" xfId="29" applyFont="1" applyFill="1" applyBorder="1" applyAlignment="1"/>
    <xf numFmtId="166" fontId="21" fillId="26" borderId="30" xfId="29" applyNumberFormat="1" applyFont="1" applyFill="1" applyBorder="1" applyAlignment="1"/>
    <xf numFmtId="10" fontId="21" fillId="26" borderId="33" xfId="41" applyNumberFormat="1" applyFont="1" applyFill="1" applyBorder="1" applyAlignment="1"/>
    <xf numFmtId="0" fontId="20" fillId="26" borderId="34" xfId="0" applyNumberFormat="1" applyFont="1" applyFill="1" applyBorder="1" applyAlignment="1"/>
    <xf numFmtId="169" fontId="21" fillId="26" borderId="35" xfId="0" applyNumberFormat="1" applyFont="1" applyFill="1" applyBorder="1" applyAlignment="1"/>
    <xf numFmtId="0" fontId="21" fillId="26" borderId="36" xfId="0" applyFont="1" applyFill="1" applyBorder="1" applyAlignment="1"/>
    <xf numFmtId="15" fontId="21" fillId="26" borderId="32" xfId="0" applyNumberFormat="1" applyFont="1" applyFill="1" applyBorder="1" applyAlignment="1"/>
    <xf numFmtId="165" fontId="21" fillId="26" borderId="37" xfId="28" applyFont="1" applyFill="1" applyBorder="1" applyAlignment="1"/>
    <xf numFmtId="167" fontId="21" fillId="26" borderId="37" xfId="41" applyNumberFormat="1" applyFont="1" applyFill="1" applyBorder="1" applyAlignment="1"/>
    <xf numFmtId="167" fontId="21" fillId="26" borderId="32" xfId="0" applyNumberFormat="1" applyFont="1" applyFill="1" applyBorder="1" applyAlignment="1"/>
    <xf numFmtId="164" fontId="21" fillId="26" borderId="32" xfId="29" applyFont="1" applyFill="1" applyBorder="1" applyAlignment="1"/>
    <xf numFmtId="166" fontId="21" fillId="26" borderId="38" xfId="29" applyNumberFormat="1" applyFont="1" applyFill="1" applyBorder="1" applyAlignment="1"/>
    <xf numFmtId="10" fontId="21" fillId="26" borderId="35" xfId="41" applyNumberFormat="1" applyFont="1" applyFill="1" applyBorder="1" applyAlignment="1"/>
    <xf numFmtId="0" fontId="20" fillId="26" borderId="39" xfId="0" applyNumberFormat="1" applyFont="1" applyFill="1" applyBorder="1" applyAlignment="1"/>
    <xf numFmtId="0" fontId="20" fillId="26" borderId="40" xfId="0" applyNumberFormat="1" applyFont="1" applyFill="1" applyBorder="1" applyAlignment="1"/>
    <xf numFmtId="0" fontId="21" fillId="26" borderId="41" xfId="0" applyFont="1" applyFill="1" applyBorder="1" applyAlignment="1"/>
    <xf numFmtId="15" fontId="21" fillId="26" borderId="42" xfId="0" applyNumberFormat="1" applyFont="1" applyFill="1" applyBorder="1" applyAlignment="1"/>
    <xf numFmtId="167" fontId="21" fillId="26" borderId="43" xfId="41" applyNumberFormat="1" applyFont="1" applyFill="1" applyBorder="1" applyAlignment="1"/>
    <xf numFmtId="167" fontId="21" fillId="26" borderId="42" xfId="0" applyNumberFormat="1" applyFont="1" applyFill="1" applyBorder="1" applyAlignment="1"/>
    <xf numFmtId="164" fontId="21" fillId="26" borderId="42" xfId="29" applyFont="1" applyFill="1" applyBorder="1" applyAlignment="1"/>
    <xf numFmtId="166" fontId="21" fillId="26" borderId="44" xfId="29" applyNumberFormat="1" applyFont="1" applyFill="1" applyBorder="1" applyAlignment="1"/>
    <xf numFmtId="10" fontId="21" fillId="26" borderId="40" xfId="41" applyNumberFormat="1" applyFont="1" applyFill="1" applyBorder="1" applyAlignment="1"/>
    <xf numFmtId="164" fontId="21" fillId="0" borderId="15" xfId="29" applyFont="1" applyFill="1" applyBorder="1" applyAlignment="1">
      <alignment horizontal="right"/>
    </xf>
    <xf numFmtId="0" fontId="20" fillId="26" borderId="35" xfId="0" applyNumberFormat="1" applyFont="1" applyFill="1" applyBorder="1" applyAlignment="1"/>
    <xf numFmtId="0" fontId="23" fillId="0" borderId="0" xfId="0" applyFont="1"/>
    <xf numFmtId="15" fontId="21" fillId="26" borderId="0" xfId="0" applyNumberFormat="1" applyFont="1" applyFill="1" applyBorder="1" applyAlignment="1"/>
    <xf numFmtId="167" fontId="21" fillId="26" borderId="0" xfId="41" applyNumberFormat="1" applyFont="1" applyFill="1" applyBorder="1" applyAlignment="1"/>
    <xf numFmtId="10" fontId="21" fillId="0" borderId="33" xfId="41" applyNumberFormat="1" applyFont="1" applyFill="1" applyBorder="1" applyAlignment="1"/>
    <xf numFmtId="165" fontId="21" fillId="0" borderId="0" xfId="0" applyNumberFormat="1" applyFont="1" applyFill="1"/>
    <xf numFmtId="0" fontId="21" fillId="0" borderId="36" xfId="0" applyFont="1" applyFill="1" applyBorder="1" applyAlignment="1"/>
    <xf numFmtId="15" fontId="21" fillId="0" borderId="32" xfId="0" applyNumberFormat="1" applyFont="1" applyFill="1" applyBorder="1" applyAlignment="1"/>
    <xf numFmtId="167" fontId="21" fillId="0" borderId="37" xfId="41" applyNumberFormat="1" applyFont="1" applyFill="1" applyBorder="1" applyAlignment="1"/>
    <xf numFmtId="164" fontId="21" fillId="0" borderId="32" xfId="29" applyFont="1" applyFill="1" applyBorder="1" applyAlignment="1"/>
    <xf numFmtId="10" fontId="21" fillId="0" borderId="35" xfId="41" applyNumberFormat="1" applyFont="1" applyFill="1" applyBorder="1" applyAlignment="1"/>
    <xf numFmtId="169" fontId="21" fillId="0" borderId="46" xfId="0" applyNumberFormat="1" applyFont="1" applyFill="1" applyBorder="1" applyAlignment="1"/>
    <xf numFmtId="167" fontId="21" fillId="0" borderId="16" xfId="0" applyNumberFormat="1" applyFont="1" applyBorder="1" applyAlignment="1"/>
    <xf numFmtId="164" fontId="21" fillId="26" borderId="15" xfId="29" applyFont="1" applyFill="1" applyBorder="1" applyAlignment="1">
      <alignment horizontal="right"/>
    </xf>
    <xf numFmtId="169" fontId="21" fillId="0" borderId="15" xfId="0" applyNumberFormat="1" applyFont="1" applyFill="1" applyBorder="1" applyAlignment="1">
      <alignment horizontal="center" vertical="center" wrapText="1"/>
    </xf>
    <xf numFmtId="164" fontId="21" fillId="0" borderId="47" xfId="29" applyFont="1" applyFill="1" applyBorder="1" applyAlignment="1">
      <alignment horizontal="center"/>
    </xf>
    <xf numFmtId="166" fontId="20" fillId="0" borderId="22" xfId="29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9" fontId="21" fillId="0" borderId="47" xfId="0" applyNumberFormat="1" applyFont="1" applyFill="1" applyBorder="1" applyAlignment="1">
      <alignment horizontal="center"/>
    </xf>
    <xf numFmtId="0" fontId="20" fillId="0" borderId="47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0" fillId="0" borderId="22" xfId="29" applyFont="1" applyBorder="1" applyAlignment="1">
      <alignment horizontal="center"/>
    </xf>
    <xf numFmtId="0" fontId="21" fillId="0" borderId="47" xfId="0" applyFont="1" applyFill="1" applyBorder="1" applyAlignment="1">
      <alignment horizontal="left"/>
    </xf>
    <xf numFmtId="170" fontId="21" fillId="0" borderId="47" xfId="0" applyNumberFormat="1" applyFont="1" applyFill="1" applyBorder="1" applyAlignment="1">
      <alignment horizontal="center"/>
    </xf>
    <xf numFmtId="167" fontId="21" fillId="0" borderId="47" xfId="41" applyNumberFormat="1" applyFont="1" applyFill="1" applyBorder="1" applyAlignment="1">
      <alignment horizontal="center"/>
    </xf>
    <xf numFmtId="167" fontId="21" fillId="0" borderId="47" xfId="0" applyNumberFormat="1" applyFont="1" applyFill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5" fontId="21" fillId="0" borderId="47" xfId="0" applyNumberFormat="1" applyFont="1" applyFill="1" applyBorder="1" applyAlignment="1">
      <alignment horizontal="center"/>
    </xf>
    <xf numFmtId="167" fontId="21" fillId="0" borderId="0" xfId="0" applyNumberFormat="1" applyFont="1" applyAlignment="1">
      <alignment horizontal="center"/>
    </xf>
    <xf numFmtId="164" fontId="21" fillId="0" borderId="47" xfId="29" applyFont="1" applyFill="1" applyBorder="1" applyAlignment="1"/>
    <xf numFmtId="164" fontId="21" fillId="0" borderId="47" xfId="29" quotePrefix="1" applyFont="1" applyFill="1" applyBorder="1" applyAlignment="1"/>
    <xf numFmtId="164" fontId="21" fillId="0" borderId="48" xfId="29" quotePrefix="1" applyFont="1" applyFill="1" applyBorder="1" applyAlignment="1"/>
    <xf numFmtId="166" fontId="21" fillId="0" borderId="48" xfId="29" applyNumberFormat="1" applyFont="1" applyFill="1" applyBorder="1" applyAlignment="1">
      <alignment horizontal="center"/>
    </xf>
    <xf numFmtId="164" fontId="21" fillId="0" borderId="0" xfId="0" applyNumberFormat="1" applyFont="1" applyFill="1"/>
    <xf numFmtId="16" fontId="21" fillId="0" borderId="47" xfId="0" applyNumberFormat="1" applyFont="1" applyFill="1" applyBorder="1" applyAlignment="1">
      <alignment horizontal="center"/>
    </xf>
    <xf numFmtId="10" fontId="21" fillId="0" borderId="47" xfId="41" applyNumberFormat="1" applyFont="1" applyFill="1" applyBorder="1" applyAlignment="1">
      <alignment horizontal="center"/>
    </xf>
    <xf numFmtId="10" fontId="21" fillId="0" borderId="47" xfId="29" applyNumberFormat="1" applyFont="1" applyFill="1" applyBorder="1" applyAlignment="1">
      <alignment horizontal="center"/>
    </xf>
    <xf numFmtId="164" fontId="21" fillId="0" borderId="47" xfId="29" quotePrefix="1" applyFont="1" applyFill="1" applyBorder="1" applyAlignment="1">
      <alignment horizontal="center"/>
    </xf>
    <xf numFmtId="0" fontId="21" fillId="0" borderId="47" xfId="0" applyNumberFormat="1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16" fontId="25" fillId="0" borderId="47" xfId="0" applyNumberFormat="1" applyFont="1" applyFill="1" applyBorder="1" applyAlignment="1">
      <alignment horizontal="center"/>
    </xf>
    <xf numFmtId="0" fontId="21" fillId="0" borderId="47" xfId="0" applyFont="1" applyFill="1" applyBorder="1" applyAlignment="1"/>
    <xf numFmtId="164" fontId="21" fillId="0" borderId="47" xfId="29" applyNumberFormat="1" applyFont="1" applyFill="1" applyBorder="1" applyAlignment="1">
      <alignment horizontal="center"/>
    </xf>
    <xf numFmtId="0" fontId="27" fillId="28" borderId="22" xfId="0" applyFont="1" applyFill="1" applyBorder="1" applyAlignment="1">
      <alignment horizontal="center" vertical="center" wrapText="1"/>
    </xf>
    <xf numFmtId="167" fontId="27" fillId="28" borderId="22" xfId="0" applyNumberFormat="1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 wrapText="1"/>
    </xf>
    <xf numFmtId="164" fontId="21" fillId="0" borderId="48" xfId="29" quotePrefix="1" applyFont="1" applyFill="1" applyBorder="1" applyAlignment="1"/>
    <xf numFmtId="166" fontId="21" fillId="0" borderId="48" xfId="29" applyNumberFormat="1" applyFont="1" applyFill="1" applyBorder="1" applyAlignment="1">
      <alignment horizontal="center"/>
    </xf>
    <xf numFmtId="169" fontId="21" fillId="0" borderId="47" xfId="0" applyNumberFormat="1" applyFont="1" applyFill="1" applyBorder="1" applyAlignment="1">
      <alignment horizontal="center"/>
    </xf>
    <xf numFmtId="0" fontId="21" fillId="0" borderId="47" xfId="0" applyFont="1" applyFill="1" applyBorder="1" applyAlignment="1">
      <alignment horizontal="left"/>
    </xf>
    <xf numFmtId="170" fontId="21" fillId="0" borderId="47" xfId="0" applyNumberFormat="1" applyFont="1" applyFill="1" applyBorder="1" applyAlignment="1">
      <alignment horizontal="center"/>
    </xf>
    <xf numFmtId="167" fontId="21" fillId="0" borderId="47" xfId="41" applyNumberFormat="1" applyFont="1" applyFill="1" applyBorder="1" applyAlignment="1">
      <alignment horizontal="center"/>
    </xf>
    <xf numFmtId="167" fontId="21" fillId="0" borderId="47" xfId="0" applyNumberFormat="1" applyFont="1" applyFill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5" fontId="21" fillId="0" borderId="47" xfId="0" applyNumberFormat="1" applyFont="1" applyFill="1" applyBorder="1" applyAlignment="1">
      <alignment horizontal="center"/>
    </xf>
    <xf numFmtId="164" fontId="21" fillId="0" borderId="47" xfId="29" applyFont="1" applyFill="1" applyBorder="1" applyAlignment="1"/>
    <xf numFmtId="0" fontId="21" fillId="0" borderId="47" xfId="0" applyFont="1" applyFill="1" applyBorder="1" applyAlignment="1"/>
    <xf numFmtId="164" fontId="21" fillId="0" borderId="47" xfId="29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/>
    <xf numFmtId="0" fontId="21" fillId="0" borderId="47" xfId="0" applyFont="1" applyFill="1" applyBorder="1" applyAlignment="1">
      <alignment horizontal="left"/>
    </xf>
    <xf numFmtId="170" fontId="21" fillId="0" borderId="47" xfId="0" applyNumberFormat="1" applyFont="1" applyFill="1" applyBorder="1" applyAlignment="1">
      <alignment horizontal="center"/>
    </xf>
    <xf numFmtId="167" fontId="21" fillId="0" borderId="47" xfId="41" applyNumberFormat="1" applyFont="1" applyFill="1" applyBorder="1" applyAlignment="1">
      <alignment horizontal="center"/>
    </xf>
    <xf numFmtId="167" fontId="21" fillId="0" borderId="47" xfId="0" applyNumberFormat="1" applyFont="1" applyFill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5" fontId="21" fillId="0" borderId="47" xfId="0" applyNumberFormat="1" applyFont="1" applyFill="1" applyBorder="1" applyAlignment="1">
      <alignment horizontal="center"/>
    </xf>
    <xf numFmtId="164" fontId="21" fillId="0" borderId="48" xfId="29" quotePrefix="1" applyFont="1" applyFill="1" applyBorder="1" applyAlignment="1"/>
    <xf numFmtId="166" fontId="21" fillId="0" borderId="48" xfId="29" applyNumberFormat="1" applyFont="1" applyFill="1" applyBorder="1" applyAlignment="1">
      <alignment horizontal="center"/>
    </xf>
    <xf numFmtId="170" fontId="25" fillId="0" borderId="47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Fill="1"/>
    <xf numFmtId="166" fontId="20" fillId="0" borderId="22" xfId="29" applyNumberFormat="1" applyFont="1" applyFill="1" applyBorder="1" applyAlignment="1">
      <alignment horizontal="center"/>
    </xf>
    <xf numFmtId="164" fontId="20" fillId="0" borderId="22" xfId="29" applyFont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66" fontId="21" fillId="0" borderId="48" xfId="29" applyNumberFormat="1" applyFont="1" applyFill="1" applyBorder="1" applyAlignment="1">
      <alignment horizontal="center"/>
    </xf>
    <xf numFmtId="170" fontId="21" fillId="0" borderId="48" xfId="0" applyNumberFormat="1" applyFont="1" applyFill="1" applyBorder="1" applyAlignment="1">
      <alignment horizontal="center"/>
    </xf>
    <xf numFmtId="16" fontId="25" fillId="0" borderId="48" xfId="0" applyNumberFormat="1" applyFont="1" applyFill="1" applyBorder="1" applyAlignment="1">
      <alignment horizontal="center"/>
    </xf>
    <xf numFmtId="0" fontId="21" fillId="0" borderId="48" xfId="0" applyFont="1" applyFill="1" applyBorder="1" applyAlignment="1">
      <alignment horizontal="left"/>
    </xf>
    <xf numFmtId="15" fontId="21" fillId="0" borderId="48" xfId="0" applyNumberFormat="1" applyFont="1" applyFill="1" applyBorder="1" applyAlignment="1">
      <alignment horizontal="center"/>
    </xf>
    <xf numFmtId="167" fontId="21" fillId="0" borderId="48" xfId="41" applyNumberFormat="1" applyFont="1" applyFill="1" applyBorder="1" applyAlignment="1">
      <alignment horizontal="center"/>
    </xf>
    <xf numFmtId="164" fontId="21" fillId="0" borderId="48" xfId="29" applyFont="1" applyFill="1" applyBorder="1" applyAlignment="1"/>
    <xf numFmtId="0" fontId="21" fillId="0" borderId="0" xfId="46" applyFont="1" applyFill="1"/>
    <xf numFmtId="169" fontId="21" fillId="0" borderId="47" xfId="46" applyNumberFormat="1" applyFont="1" applyFill="1" applyBorder="1" applyAlignment="1">
      <alignment horizontal="center"/>
    </xf>
    <xf numFmtId="0" fontId="21" fillId="0" borderId="47" xfId="46" applyFont="1" applyFill="1" applyBorder="1" applyAlignment="1">
      <alignment horizontal="left"/>
    </xf>
    <xf numFmtId="170" fontId="21" fillId="0" borderId="47" xfId="46" applyNumberFormat="1" applyFont="1" applyFill="1" applyBorder="1" applyAlignment="1">
      <alignment horizontal="center"/>
    </xf>
    <xf numFmtId="167" fontId="21" fillId="0" borderId="47" xfId="41" applyNumberFormat="1" applyFont="1" applyFill="1" applyBorder="1" applyAlignment="1">
      <alignment horizontal="center"/>
    </xf>
    <xf numFmtId="167" fontId="21" fillId="0" borderId="47" xfId="46" applyNumberFormat="1" applyFont="1" applyFill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5" fontId="21" fillId="0" borderId="47" xfId="46" applyNumberFormat="1" applyFont="1" applyFill="1" applyBorder="1" applyAlignment="1">
      <alignment horizontal="center"/>
    </xf>
    <xf numFmtId="164" fontId="21" fillId="0" borderId="48" xfId="29" quotePrefix="1" applyFont="1" applyFill="1" applyBorder="1" applyAlignment="1"/>
    <xf numFmtId="166" fontId="21" fillId="0" borderId="48" xfId="29" applyNumberFormat="1" applyFont="1" applyFill="1" applyBorder="1" applyAlignment="1">
      <alignment horizontal="center"/>
    </xf>
    <xf numFmtId="164" fontId="21" fillId="0" borderId="0" xfId="46" applyNumberFormat="1" applyFont="1" applyFill="1"/>
    <xf numFmtId="10" fontId="21" fillId="0" borderId="47" xfId="41" applyNumberFormat="1" applyFont="1" applyFill="1" applyBorder="1" applyAlignment="1">
      <alignment horizontal="center"/>
    </xf>
    <xf numFmtId="10" fontId="21" fillId="0" borderId="47" xfId="29" applyNumberFormat="1" applyFont="1" applyFill="1" applyBorder="1" applyAlignment="1">
      <alignment horizontal="center"/>
    </xf>
    <xf numFmtId="0" fontId="21" fillId="0" borderId="47" xfId="46" applyNumberFormat="1" applyFont="1" applyFill="1" applyBorder="1" applyAlignment="1">
      <alignment horizontal="center"/>
    </xf>
    <xf numFmtId="0" fontId="21" fillId="0" borderId="47" xfId="46" applyFont="1" applyFill="1" applyBorder="1" applyAlignment="1">
      <alignment horizontal="center"/>
    </xf>
    <xf numFmtId="16" fontId="25" fillId="0" borderId="47" xfId="46" applyNumberFormat="1" applyFont="1" applyFill="1" applyBorder="1" applyAlignment="1">
      <alignment horizontal="center"/>
    </xf>
    <xf numFmtId="43" fontId="21" fillId="0" borderId="0" xfId="0" applyNumberFormat="1" applyFont="1"/>
    <xf numFmtId="0" fontId="21" fillId="0" borderId="0" xfId="46" applyFont="1"/>
    <xf numFmtId="165" fontId="21" fillId="0" borderId="0" xfId="28" applyFont="1"/>
    <xf numFmtId="164" fontId="21" fillId="0" borderId="47" xfId="29" applyFont="1" applyFill="1" applyBorder="1" applyAlignment="1">
      <alignment horizontal="center"/>
    </xf>
    <xf numFmtId="166" fontId="20" fillId="0" borderId="22" xfId="29" applyNumberFormat="1" applyFont="1" applyFill="1" applyBorder="1" applyAlignment="1">
      <alignment horizontal="center"/>
    </xf>
    <xf numFmtId="169" fontId="21" fillId="0" borderId="47" xfId="46" applyNumberFormat="1" applyFont="1" applyFill="1" applyBorder="1" applyAlignment="1">
      <alignment horizontal="center"/>
    </xf>
    <xf numFmtId="0" fontId="20" fillId="0" borderId="47" xfId="46" applyNumberFormat="1" applyFont="1" applyFill="1" applyBorder="1" applyAlignment="1">
      <alignment horizontal="center"/>
    </xf>
    <xf numFmtId="164" fontId="20" fillId="0" borderId="22" xfId="29" applyFont="1" applyBorder="1" applyAlignment="1">
      <alignment horizontal="center"/>
    </xf>
    <xf numFmtId="0" fontId="21" fillId="0" borderId="47" xfId="46" applyFont="1" applyFill="1" applyBorder="1" applyAlignment="1">
      <alignment horizontal="left"/>
    </xf>
    <xf numFmtId="170" fontId="21" fillId="0" borderId="47" xfId="46" applyNumberFormat="1" applyFont="1" applyFill="1" applyBorder="1" applyAlignment="1">
      <alignment horizontal="center"/>
    </xf>
    <xf numFmtId="167" fontId="21" fillId="0" borderId="47" xfId="41" applyNumberFormat="1" applyFont="1" applyFill="1" applyBorder="1" applyAlignment="1">
      <alignment horizontal="center"/>
    </xf>
    <xf numFmtId="167" fontId="21" fillId="0" borderId="47" xfId="46" applyNumberFormat="1" applyFont="1" applyFill="1" applyBorder="1" applyAlignment="1">
      <alignment horizontal="center"/>
    </xf>
    <xf numFmtId="166" fontId="21" fillId="0" borderId="47" xfId="29" applyNumberFormat="1" applyFont="1" applyFill="1" applyBorder="1" applyAlignment="1">
      <alignment horizontal="center"/>
    </xf>
    <xf numFmtId="15" fontId="21" fillId="0" borderId="47" xfId="46" applyNumberFormat="1" applyFont="1" applyFill="1" applyBorder="1" applyAlignment="1">
      <alignment horizontal="center"/>
    </xf>
    <xf numFmtId="164" fontId="21" fillId="0" borderId="47" xfId="29" applyFont="1" applyFill="1" applyBorder="1" applyAlignment="1"/>
    <xf numFmtId="164" fontId="21" fillId="0" borderId="48" xfId="29" quotePrefix="1" applyFont="1" applyFill="1" applyBorder="1" applyAlignment="1"/>
    <xf numFmtId="166" fontId="21" fillId="0" borderId="48" xfId="29" applyNumberFormat="1" applyFont="1" applyFill="1" applyBorder="1" applyAlignment="1">
      <alignment horizontal="center"/>
    </xf>
    <xf numFmtId="0" fontId="21" fillId="0" borderId="47" xfId="46" applyFont="1" applyFill="1" applyBorder="1" applyAlignment="1"/>
    <xf numFmtId="164" fontId="21" fillId="0" borderId="47" xfId="29" applyNumberFormat="1" applyFont="1" applyFill="1" applyBorder="1" applyAlignment="1">
      <alignment horizontal="center"/>
    </xf>
    <xf numFmtId="0" fontId="21" fillId="0" borderId="0" xfId="46" applyFont="1" applyFill="1"/>
    <xf numFmtId="164" fontId="21" fillId="0" borderId="0" xfId="46" applyNumberFormat="1" applyFont="1" applyFill="1"/>
    <xf numFmtId="43" fontId="21" fillId="0" borderId="0" xfId="46" applyNumberFormat="1" applyFont="1"/>
    <xf numFmtId="164" fontId="21" fillId="0" borderId="0" xfId="29" applyFont="1" applyFill="1" applyBorder="1" applyAlignment="1">
      <alignment horizontal="right"/>
    </xf>
    <xf numFmtId="167" fontId="21" fillId="0" borderId="47" xfId="29" applyNumberFormat="1" applyFont="1" applyFill="1" applyBorder="1" applyAlignment="1">
      <alignment horizontal="center"/>
    </xf>
    <xf numFmtId="9" fontId="21" fillId="0" borderId="0" xfId="41" applyFont="1" applyFill="1" applyBorder="1" applyAlignment="1">
      <alignment horizontal="right"/>
    </xf>
    <xf numFmtId="168" fontId="21" fillId="0" borderId="0" xfId="0" applyNumberFormat="1" applyFont="1" applyFill="1"/>
    <xf numFmtId="167" fontId="21" fillId="0" borderId="52" xfId="29" applyNumberFormat="1" applyFont="1" applyFill="1" applyBorder="1" applyAlignment="1">
      <alignment horizontal="center"/>
    </xf>
    <xf numFmtId="165" fontId="21" fillId="0" borderId="0" xfId="28" applyFont="1" applyFill="1" applyBorder="1" applyAlignment="1">
      <alignment horizontal="right"/>
    </xf>
    <xf numFmtId="168" fontId="21" fillId="0" borderId="0" xfId="28" applyNumberFormat="1" applyFont="1" applyFill="1"/>
    <xf numFmtId="165" fontId="21" fillId="0" borderId="0" xfId="28" applyFont="1" applyFill="1"/>
    <xf numFmtId="167" fontId="21" fillId="0" borderId="53" xfId="0" applyNumberFormat="1" applyFont="1" applyFill="1" applyBorder="1" applyAlignment="1">
      <alignment horizontal="center"/>
    </xf>
    <xf numFmtId="171" fontId="21" fillId="0" borderId="0" xfId="0" applyNumberFormat="1" applyFont="1" applyFill="1"/>
    <xf numFmtId="167" fontId="21" fillId="0" borderId="47" xfId="41" quotePrefix="1" applyNumberFormat="1" applyFont="1" applyFill="1" applyBorder="1" applyAlignment="1">
      <alignment horizontal="center"/>
    </xf>
    <xf numFmtId="166" fontId="21" fillId="0" borderId="47" xfId="29" quotePrefix="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1" fillId="0" borderId="0" xfId="0" applyNumberFormat="1" applyFont="1" applyAlignment="1">
      <alignment horizontal="center"/>
    </xf>
    <xf numFmtId="168" fontId="21" fillId="0" borderId="0" xfId="28" applyNumberFormat="1" applyFont="1" applyAlignment="1">
      <alignment horizontal="center"/>
    </xf>
    <xf numFmtId="168" fontId="21" fillId="0" borderId="0" xfId="0" applyNumberFormat="1" applyFont="1" applyAlignment="1">
      <alignment horizontal="center"/>
    </xf>
    <xf numFmtId="169" fontId="21" fillId="0" borderId="27" xfId="0" applyNumberFormat="1" applyFont="1" applyFill="1" applyBorder="1" applyAlignment="1">
      <alignment horizontal="center" vertical="center" wrapText="1"/>
    </xf>
    <xf numFmtId="169" fontId="21" fillId="0" borderId="23" xfId="0" applyNumberFormat="1" applyFont="1" applyFill="1" applyBorder="1" applyAlignment="1">
      <alignment horizontal="center" vertical="center" wrapText="1"/>
    </xf>
    <xf numFmtId="169" fontId="21" fillId="0" borderId="26" xfId="0" applyNumberFormat="1" applyFont="1" applyFill="1" applyBorder="1" applyAlignment="1">
      <alignment horizontal="center" vertical="center" wrapText="1"/>
    </xf>
    <xf numFmtId="169" fontId="21" fillId="0" borderId="15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left"/>
    </xf>
    <xf numFmtId="0" fontId="21" fillId="0" borderId="45" xfId="0" applyFont="1" applyBorder="1" applyAlignment="1">
      <alignment horizontal="left"/>
    </xf>
    <xf numFmtId="0" fontId="20" fillId="0" borderId="49" xfId="0" applyNumberFormat="1" applyFont="1" applyFill="1" applyBorder="1" applyAlignment="1">
      <alignment horizontal="center"/>
    </xf>
    <xf numFmtId="0" fontId="20" fillId="0" borderId="50" xfId="0" applyNumberFormat="1" applyFont="1" applyFill="1" applyBorder="1" applyAlignment="1">
      <alignment horizontal="center"/>
    </xf>
    <xf numFmtId="0" fontId="20" fillId="0" borderId="51" xfId="0" applyNumberFormat="1" applyFont="1" applyFill="1" applyBorder="1" applyAlignment="1">
      <alignment horizontal="center"/>
    </xf>
    <xf numFmtId="16" fontId="20" fillId="0" borderId="24" xfId="0" applyNumberFormat="1" applyFont="1" applyBorder="1" applyAlignment="1">
      <alignment horizontal="center"/>
    </xf>
    <xf numFmtId="16" fontId="20" fillId="0" borderId="20" xfId="0" applyNumberFormat="1" applyFont="1" applyBorder="1" applyAlignment="1">
      <alignment horizontal="center"/>
    </xf>
    <xf numFmtId="16" fontId="20" fillId="0" borderId="45" xfId="0" applyNumberFormat="1" applyFont="1" applyBorder="1" applyAlignment="1">
      <alignment horizontal="center"/>
    </xf>
    <xf numFmtId="0" fontId="20" fillId="0" borderId="49" xfId="46" applyNumberFormat="1" applyFont="1" applyFill="1" applyBorder="1" applyAlignment="1">
      <alignment horizontal="center"/>
    </xf>
    <xf numFmtId="0" fontId="20" fillId="0" borderId="50" xfId="46" applyNumberFormat="1" applyFont="1" applyFill="1" applyBorder="1" applyAlignment="1">
      <alignment horizontal="center"/>
    </xf>
    <xf numFmtId="0" fontId="20" fillId="0" borderId="51" xfId="46" applyNumberFormat="1" applyFont="1" applyFill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0" fillId="0" borderId="40" xfId="0" applyNumberFormat="1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Comma 2 2" xfId="48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RowHeight="11.25" x14ac:dyDescent="0.2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 x14ac:dyDescent="0.2">
      <c r="A1" s="1" t="s">
        <v>44</v>
      </c>
      <c r="B1" s="1"/>
    </row>
    <row r="3" spans="1:28" ht="33.75" x14ac:dyDescent="0.2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 x14ac:dyDescent="0.2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 x14ac:dyDescent="0.2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 x14ac:dyDescent="0.2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 x14ac:dyDescent="0.2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 x14ac:dyDescent="0.2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 x14ac:dyDescent="0.2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 x14ac:dyDescent="0.2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 x14ac:dyDescent="0.2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 x14ac:dyDescent="0.2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 x14ac:dyDescent="0.2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 x14ac:dyDescent="0.2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 x14ac:dyDescent="0.2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 x14ac:dyDescent="0.2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 x14ac:dyDescent="0.2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 x14ac:dyDescent="0.2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 x14ac:dyDescent="0.2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 x14ac:dyDescent="0.2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 x14ac:dyDescent="0.2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 x14ac:dyDescent="0.2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 x14ac:dyDescent="0.2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 x14ac:dyDescent="0.2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 x14ac:dyDescent="0.2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 x14ac:dyDescent="0.2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 x14ac:dyDescent="0.2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 x14ac:dyDescent="0.2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 x14ac:dyDescent="0.2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 x14ac:dyDescent="0.2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 x14ac:dyDescent="0.2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 x14ac:dyDescent="0.2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 x14ac:dyDescent="0.2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 x14ac:dyDescent="0.2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 x14ac:dyDescent="0.2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 x14ac:dyDescent="0.2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 x14ac:dyDescent="0.2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 x14ac:dyDescent="0.2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 x14ac:dyDescent="0.2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 x14ac:dyDescent="0.2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 x14ac:dyDescent="0.2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 x14ac:dyDescent="0.2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 x14ac:dyDescent="0.2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 x14ac:dyDescent="0.2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 x14ac:dyDescent="0.2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 x14ac:dyDescent="0.2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 x14ac:dyDescent="0.2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 x14ac:dyDescent="0.2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 x14ac:dyDescent="0.2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 x14ac:dyDescent="0.2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 x14ac:dyDescent="0.2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 x14ac:dyDescent="0.2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 x14ac:dyDescent="0.2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 x14ac:dyDescent="0.2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 x14ac:dyDescent="0.2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 x14ac:dyDescent="0.2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 x14ac:dyDescent="0.2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 x14ac:dyDescent="0.2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 x14ac:dyDescent="0.2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 x14ac:dyDescent="0.2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 x14ac:dyDescent="0.2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 x14ac:dyDescent="0.2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 x14ac:dyDescent="0.2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 x14ac:dyDescent="0.2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 x14ac:dyDescent="0.2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 x14ac:dyDescent="0.2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 x14ac:dyDescent="0.2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 x14ac:dyDescent="0.2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 x14ac:dyDescent="0.2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 x14ac:dyDescent="0.2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 x14ac:dyDescent="0.2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 x14ac:dyDescent="0.2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 x14ac:dyDescent="0.2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 x14ac:dyDescent="0.2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 x14ac:dyDescent="0.2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 x14ac:dyDescent="0.2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 x14ac:dyDescent="0.2">
      <c r="A78" s="291">
        <v>41016</v>
      </c>
      <c r="B78" s="293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 x14ac:dyDescent="0.2">
      <c r="A79" s="292"/>
      <c r="B79" s="294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 x14ac:dyDescent="0.2">
      <c r="A80" s="292"/>
      <c r="B80" s="294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 x14ac:dyDescent="0.2">
      <c r="A81" s="292"/>
      <c r="B81" s="294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 x14ac:dyDescent="0.2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 x14ac:dyDescent="0.2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 x14ac:dyDescent="0.2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 x14ac:dyDescent="0.2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 x14ac:dyDescent="0.2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 x14ac:dyDescent="0.2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 x14ac:dyDescent="0.2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 x14ac:dyDescent="0.2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 x14ac:dyDescent="0.2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 x14ac:dyDescent="0.2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 x14ac:dyDescent="0.2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 x14ac:dyDescent="0.2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 x14ac:dyDescent="0.2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 x14ac:dyDescent="0.2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 x14ac:dyDescent="0.2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 x14ac:dyDescent="0.2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 x14ac:dyDescent="0.2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 x14ac:dyDescent="0.2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 x14ac:dyDescent="0.2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 x14ac:dyDescent="0.2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 x14ac:dyDescent="0.2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 x14ac:dyDescent="0.2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 x14ac:dyDescent="0.2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 x14ac:dyDescent="0.2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 x14ac:dyDescent="0.2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 x14ac:dyDescent="0.2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 x14ac:dyDescent="0.2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 x14ac:dyDescent="0.2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 x14ac:dyDescent="0.2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 x14ac:dyDescent="0.2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 x14ac:dyDescent="0.2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 x14ac:dyDescent="0.2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 x14ac:dyDescent="0.2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 x14ac:dyDescent="0.2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 x14ac:dyDescent="0.2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 x14ac:dyDescent="0.2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 x14ac:dyDescent="0.2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 x14ac:dyDescent="0.2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 x14ac:dyDescent="0.2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 x14ac:dyDescent="0.2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 x14ac:dyDescent="0.2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 x14ac:dyDescent="0.2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 x14ac:dyDescent="0.2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 x14ac:dyDescent="0.2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 x14ac:dyDescent="0.2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 x14ac:dyDescent="0.2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 x14ac:dyDescent="0.2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 x14ac:dyDescent="0.2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 x14ac:dyDescent="0.2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 x14ac:dyDescent="0.2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 x14ac:dyDescent="0.2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 x14ac:dyDescent="0.2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 x14ac:dyDescent="0.2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 x14ac:dyDescent="0.2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 x14ac:dyDescent="0.2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 x14ac:dyDescent="0.2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 x14ac:dyDescent="0.2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 x14ac:dyDescent="0.2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 x14ac:dyDescent="0.2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 x14ac:dyDescent="0.2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 x14ac:dyDescent="0.2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 x14ac:dyDescent="0.2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 x14ac:dyDescent="0.2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 x14ac:dyDescent="0.2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 x14ac:dyDescent="0.2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 x14ac:dyDescent="0.2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 x14ac:dyDescent="0.2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 x14ac:dyDescent="0.2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 x14ac:dyDescent="0.2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 x14ac:dyDescent="0.2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 x14ac:dyDescent="0.2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 x14ac:dyDescent="0.2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 x14ac:dyDescent="0.2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 x14ac:dyDescent="0.2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 x14ac:dyDescent="0.2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 x14ac:dyDescent="0.2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 x14ac:dyDescent="0.2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 x14ac:dyDescent="0.2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 x14ac:dyDescent="0.2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 x14ac:dyDescent="0.2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 x14ac:dyDescent="0.2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 x14ac:dyDescent="0.2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 x14ac:dyDescent="0.2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 x14ac:dyDescent="0.2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 x14ac:dyDescent="0.2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 x14ac:dyDescent="0.2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 x14ac:dyDescent="0.2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 x14ac:dyDescent="0.2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 x14ac:dyDescent="0.2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 x14ac:dyDescent="0.2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 x14ac:dyDescent="0.2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 x14ac:dyDescent="0.2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 x14ac:dyDescent="0.2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 x14ac:dyDescent="0.2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 x14ac:dyDescent="0.2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 x14ac:dyDescent="0.2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 x14ac:dyDescent="0.2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 x14ac:dyDescent="0.2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 x14ac:dyDescent="0.2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 x14ac:dyDescent="0.2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 x14ac:dyDescent="0.2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 x14ac:dyDescent="0.2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 x14ac:dyDescent="0.2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 x14ac:dyDescent="0.2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 x14ac:dyDescent="0.2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 x14ac:dyDescent="0.2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 x14ac:dyDescent="0.2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 x14ac:dyDescent="0.2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 x14ac:dyDescent="0.2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 x14ac:dyDescent="0.2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 x14ac:dyDescent="0.2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 x14ac:dyDescent="0.2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 x14ac:dyDescent="0.2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 x14ac:dyDescent="0.2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 x14ac:dyDescent="0.2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 x14ac:dyDescent="0.2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 x14ac:dyDescent="0.2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 x14ac:dyDescent="0.2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 x14ac:dyDescent="0.2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 x14ac:dyDescent="0.2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 x14ac:dyDescent="0.2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 x14ac:dyDescent="0.2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 x14ac:dyDescent="0.2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 x14ac:dyDescent="0.2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 x14ac:dyDescent="0.2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 x14ac:dyDescent="0.2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 x14ac:dyDescent="0.2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 x14ac:dyDescent="0.2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 x14ac:dyDescent="0.2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 x14ac:dyDescent="0.2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 x14ac:dyDescent="0.2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 x14ac:dyDescent="0.2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 x14ac:dyDescent="0.2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 x14ac:dyDescent="0.2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 x14ac:dyDescent="0.2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 x14ac:dyDescent="0.2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 x14ac:dyDescent="0.2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 x14ac:dyDescent="0.2">
      <c r="A219" s="1" t="s">
        <v>31</v>
      </c>
      <c r="R219" s="39"/>
    </row>
    <row r="220" spans="1:20" x14ac:dyDescent="0.2">
      <c r="A220" s="1"/>
      <c r="M220" s="39"/>
      <c r="N220" s="39"/>
      <c r="O220" s="39"/>
      <c r="Q220" s="36"/>
    </row>
    <row r="221" spans="1:20" ht="27" customHeight="1" x14ac:dyDescent="0.2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 x14ac:dyDescent="0.2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 x14ac:dyDescent="0.2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 x14ac:dyDescent="0.2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 x14ac:dyDescent="0.2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 x14ac:dyDescent="0.3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 x14ac:dyDescent="0.2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 x14ac:dyDescent="0.2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 x14ac:dyDescent="0.2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 x14ac:dyDescent="0.2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 x14ac:dyDescent="0.2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 x14ac:dyDescent="0.2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 x14ac:dyDescent="0.2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9"/>
      <c r="N238" s="39"/>
      <c r="O238" s="39"/>
    </row>
    <row r="239" spans="1:20" x14ac:dyDescent="0.2">
      <c r="O239" s="39"/>
    </row>
    <row r="240" spans="1:20" x14ac:dyDescent="0.2">
      <c r="O240" s="86"/>
    </row>
    <row r="241" spans="12:16" x14ac:dyDescent="0.2">
      <c r="M241" s="39"/>
      <c r="N241" s="39"/>
      <c r="O241" s="86"/>
    </row>
    <row r="242" spans="12:16" x14ac:dyDescent="0.2">
      <c r="O242" s="86"/>
    </row>
    <row r="247" spans="12:16" x14ac:dyDescent="0.2">
      <c r="N247" s="116" t="s">
        <v>76</v>
      </c>
      <c r="O247" s="116"/>
      <c r="P247" s="117">
        <v>270419408</v>
      </c>
    </row>
    <row r="248" spans="12:16" x14ac:dyDescent="0.2">
      <c r="N248" s="116" t="s">
        <v>77</v>
      </c>
      <c r="O248" s="116"/>
      <c r="P248" s="118">
        <f>P247-O217</f>
        <v>1871550</v>
      </c>
    </row>
    <row r="249" spans="12:16" x14ac:dyDescent="0.2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 x14ac:dyDescent="0.2">
      <c r="N250" s="295" t="s">
        <v>73</v>
      </c>
      <c r="O250" s="296"/>
      <c r="P250" s="120">
        <f>100%-P249</f>
        <v>6.9209159721257407E-3</v>
      </c>
    </row>
    <row r="259" spans="15:15" x14ac:dyDescent="0.2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64"/>
  <sheetViews>
    <sheetView showGridLines="0" tabSelected="1" zoomScale="115" zoomScaleNormal="115" zoomScaleSheetLayoutView="100" workbookViewId="0">
      <pane xSplit="4" ySplit="3" topLeftCell="E331" activePane="bottomRight" state="frozen"/>
      <selection pane="topRight" activeCell="D1" sqref="D1"/>
      <selection pane="bottomLeft" activeCell="A4" sqref="A4"/>
      <selection pane="bottomRight" activeCell="L358" sqref="L358"/>
    </sheetView>
  </sheetViews>
  <sheetFormatPr defaultRowHeight="11.25" outlineLevelRow="1" x14ac:dyDescent="0.2"/>
  <cols>
    <col min="1" max="1" width="9.140625" style="173" customWidth="1"/>
    <col min="2" max="2" width="12.28515625" style="173" customWidth="1"/>
    <col min="3" max="3" width="14.7109375" style="173" customWidth="1"/>
    <col min="4" max="4" width="13.5703125" style="2" bestFit="1" customWidth="1"/>
    <col min="5" max="5" width="13.28515625" style="173" bestFit="1" customWidth="1"/>
    <col min="6" max="6" width="12" style="182" customWidth="1"/>
    <col min="7" max="8" width="10.7109375" style="173" customWidth="1"/>
    <col min="9" max="9" width="12.28515625" style="173" customWidth="1"/>
    <col min="10" max="10" width="11.140625" style="173" bestFit="1" customWidth="1"/>
    <col min="11" max="11" width="16.7109375" style="173" bestFit="1" customWidth="1"/>
    <col min="12" max="12" width="16" style="173" bestFit="1" customWidth="1"/>
    <col min="13" max="13" width="9.85546875" style="173" bestFit="1" customWidth="1"/>
    <col min="14" max="14" width="10.7109375" style="2" bestFit="1" customWidth="1"/>
    <col min="15" max="15" width="12.85546875" style="2" bestFit="1" customWidth="1"/>
    <col min="16" max="16" width="12" style="2" bestFit="1" customWidth="1"/>
    <col min="17" max="17" width="9.85546875" style="2" bestFit="1" customWidth="1"/>
    <col min="18" max="16384" width="9.140625" style="2"/>
  </cols>
  <sheetData>
    <row r="1" spans="1:17" ht="24.75" customHeight="1" x14ac:dyDescent="0.2">
      <c r="A1" s="174" t="s">
        <v>141</v>
      </c>
      <c r="B1" s="170"/>
      <c r="C1" s="170"/>
    </row>
    <row r="2" spans="1:17" x14ac:dyDescent="0.2">
      <c r="L2" s="306" t="s">
        <v>139</v>
      </c>
      <c r="M2" s="306"/>
    </row>
    <row r="3" spans="1:17" ht="45" x14ac:dyDescent="0.2">
      <c r="A3" s="197" t="s">
        <v>129</v>
      </c>
      <c r="B3" s="197" t="s">
        <v>130</v>
      </c>
      <c r="C3" s="197" t="s">
        <v>131</v>
      </c>
      <c r="D3" s="197" t="s">
        <v>132</v>
      </c>
      <c r="E3" s="197" t="s">
        <v>133</v>
      </c>
      <c r="F3" s="198" t="s">
        <v>134</v>
      </c>
      <c r="G3" s="197" t="s">
        <v>5</v>
      </c>
      <c r="H3" s="197" t="s">
        <v>7</v>
      </c>
      <c r="I3" s="199" t="s">
        <v>120</v>
      </c>
      <c r="J3" s="197" t="s">
        <v>10</v>
      </c>
      <c r="K3" s="197" t="s">
        <v>135</v>
      </c>
      <c r="L3" s="197" t="s">
        <v>136</v>
      </c>
      <c r="M3" s="197" t="s">
        <v>15</v>
      </c>
    </row>
    <row r="4" spans="1:17" s="71" customFormat="1" ht="12.75" customHeight="1" outlineLevel="1" x14ac:dyDescent="0.2">
      <c r="A4" s="177">
        <v>42705</v>
      </c>
      <c r="B4" s="188">
        <v>42712</v>
      </c>
      <c r="C4" s="194" t="s">
        <v>126</v>
      </c>
      <c r="D4" s="176" t="s">
        <v>142</v>
      </c>
      <c r="E4" s="177">
        <v>44569</v>
      </c>
      <c r="F4" s="178">
        <v>3.6999999999999998E-2</v>
      </c>
      <c r="G4" s="189"/>
      <c r="H4" s="189"/>
      <c r="I4" s="178">
        <v>3.7499999999999999E-2</v>
      </c>
      <c r="J4" s="190"/>
      <c r="K4" s="191" t="s">
        <v>155</v>
      </c>
      <c r="L4" s="191" t="s">
        <v>137</v>
      </c>
      <c r="M4" s="168"/>
    </row>
    <row r="5" spans="1:17" s="71" customFormat="1" ht="12.75" customHeight="1" outlineLevel="1" x14ac:dyDescent="0.2">
      <c r="A5" s="192"/>
      <c r="B5" s="192"/>
      <c r="C5" s="192"/>
      <c r="D5" s="176"/>
      <c r="E5" s="177"/>
      <c r="F5" s="178"/>
      <c r="G5" s="189"/>
      <c r="H5" s="189"/>
      <c r="I5" s="178"/>
      <c r="J5" s="193"/>
      <c r="K5" s="168">
        <f>5200*13485</f>
        <v>70122000</v>
      </c>
      <c r="L5" s="168">
        <f>750*13485</f>
        <v>10113750</v>
      </c>
      <c r="M5" s="180">
        <f>K5/L5</f>
        <v>6.9333333333333336</v>
      </c>
    </row>
    <row r="6" spans="1:17" s="71" customFormat="1" ht="12.75" customHeight="1" outlineLevel="1" x14ac:dyDescent="0.2">
      <c r="A6" s="171"/>
      <c r="B6" s="171"/>
      <c r="C6" s="171"/>
      <c r="D6" s="176" t="s">
        <v>143</v>
      </c>
      <c r="E6" s="177">
        <v>46395</v>
      </c>
      <c r="F6" s="178">
        <v>4.3499999999999997E-2</v>
      </c>
      <c r="G6" s="178"/>
      <c r="H6" s="178"/>
      <c r="I6" s="178">
        <v>4.3999999999999997E-2</v>
      </c>
      <c r="J6" s="179"/>
      <c r="K6" s="168" t="s">
        <v>156</v>
      </c>
      <c r="L6" s="168" t="s">
        <v>125</v>
      </c>
      <c r="M6" s="180"/>
    </row>
    <row r="7" spans="1:17" s="71" customFormat="1" ht="12.75" customHeight="1" outlineLevel="1" x14ac:dyDescent="0.2">
      <c r="A7" s="171"/>
      <c r="B7" s="171"/>
      <c r="C7" s="171"/>
      <c r="D7" s="176"/>
      <c r="E7" s="181"/>
      <c r="F7" s="178"/>
      <c r="G7" s="178"/>
      <c r="H7" s="178"/>
      <c r="I7" s="178"/>
      <c r="J7" s="179"/>
      <c r="K7" s="183">
        <f>3500*13485</f>
        <v>47197500</v>
      </c>
      <c r="L7" s="183">
        <f>1250*13485</f>
        <v>16856250</v>
      </c>
      <c r="M7" s="180">
        <f>K7/L7</f>
        <v>2.8</v>
      </c>
      <c r="Q7" s="187"/>
    </row>
    <row r="8" spans="1:17" s="71" customFormat="1" ht="12.75" customHeight="1" outlineLevel="1" x14ac:dyDescent="0.2">
      <c r="A8" s="171"/>
      <c r="B8" s="171"/>
      <c r="C8" s="171"/>
      <c r="D8" s="176" t="s">
        <v>144</v>
      </c>
      <c r="E8" s="177">
        <v>53700</v>
      </c>
      <c r="F8" s="178">
        <v>5.2499999999999998E-2</v>
      </c>
      <c r="G8" s="178"/>
      <c r="H8" s="178"/>
      <c r="I8" s="178">
        <v>5.2999999999999999E-2</v>
      </c>
      <c r="J8" s="179"/>
      <c r="K8" s="168" t="s">
        <v>157</v>
      </c>
      <c r="L8" s="168" t="s">
        <v>145</v>
      </c>
      <c r="M8" s="180"/>
    </row>
    <row r="9" spans="1:17" s="71" customFormat="1" ht="12.75" customHeight="1" outlineLevel="1" x14ac:dyDescent="0.2">
      <c r="A9" s="171"/>
      <c r="B9" s="171"/>
      <c r="C9" s="171"/>
      <c r="D9" s="176"/>
      <c r="E9" s="181"/>
      <c r="F9" s="178"/>
      <c r="G9" s="178"/>
      <c r="H9" s="178"/>
      <c r="I9" s="178"/>
      <c r="J9" s="179"/>
      <c r="K9" s="183">
        <f>3300*13485</f>
        <v>44500500</v>
      </c>
      <c r="L9" s="183">
        <f>1500*13485</f>
        <v>20227500</v>
      </c>
      <c r="M9" s="180">
        <f>K9/L9</f>
        <v>2.2000000000000002</v>
      </c>
      <c r="Q9" s="187"/>
    </row>
    <row r="10" spans="1:17" s="71" customFormat="1" ht="12.75" customHeight="1" outlineLevel="1" x14ac:dyDescent="0.2">
      <c r="A10" s="297" t="s">
        <v>128</v>
      </c>
      <c r="B10" s="298"/>
      <c r="C10" s="298"/>
      <c r="D10" s="298"/>
      <c r="E10" s="298"/>
      <c r="F10" s="298"/>
      <c r="G10" s="298"/>
      <c r="H10" s="298"/>
      <c r="I10" s="298"/>
      <c r="J10" s="299"/>
      <c r="K10" s="185">
        <f>SUM(K5,K7,K9)</f>
        <v>161820000</v>
      </c>
      <c r="L10" s="185">
        <f>SUM(L5,L7,L9)</f>
        <v>47197500</v>
      </c>
      <c r="M10" s="186"/>
    </row>
    <row r="11" spans="1:17" s="71" customFormat="1" ht="12.75" customHeight="1" outlineLevel="1" x14ac:dyDescent="0.2">
      <c r="A11" s="177">
        <v>42738</v>
      </c>
      <c r="B11" s="177">
        <v>42740</v>
      </c>
      <c r="C11" s="177" t="s">
        <v>127</v>
      </c>
      <c r="D11" s="176" t="s">
        <v>146</v>
      </c>
      <c r="E11" s="181">
        <v>42829</v>
      </c>
      <c r="F11" s="178" t="s">
        <v>138</v>
      </c>
      <c r="G11" s="178">
        <v>5.74E-2</v>
      </c>
      <c r="H11" s="178">
        <v>6.4000000000000001E-2</v>
      </c>
      <c r="I11" s="179">
        <v>5.9328699999999998E-2</v>
      </c>
      <c r="J11" s="179">
        <v>0.06</v>
      </c>
      <c r="K11" s="183">
        <v>14975000</v>
      </c>
      <c r="L11" s="183">
        <v>6100000</v>
      </c>
      <c r="M11" s="180">
        <f>K11/L11</f>
        <v>2.4549180327868854</v>
      </c>
    </row>
    <row r="12" spans="1:17" s="71" customFormat="1" ht="12.75" customHeight="1" outlineLevel="1" x14ac:dyDescent="0.2">
      <c r="A12" s="172"/>
      <c r="B12" s="172"/>
      <c r="C12" s="172"/>
      <c r="D12" s="176" t="s">
        <v>147</v>
      </c>
      <c r="E12" s="181">
        <v>43104</v>
      </c>
      <c r="F12" s="178" t="s">
        <v>138</v>
      </c>
      <c r="G12" s="178">
        <v>6.6400000000000001E-2</v>
      </c>
      <c r="H12" s="178">
        <v>7.4999999999999997E-2</v>
      </c>
      <c r="I12" s="179">
        <v>6.7867399999999994E-2</v>
      </c>
      <c r="J12" s="179">
        <v>6.8500000000000005E-2</v>
      </c>
      <c r="K12" s="183">
        <v>7255000</v>
      </c>
      <c r="L12" s="183">
        <v>5300000</v>
      </c>
      <c r="M12" s="180">
        <f>K12/L12</f>
        <v>1.368867924528302</v>
      </c>
    </row>
    <row r="13" spans="1:17" s="71" customFormat="1" ht="12.75" customHeight="1" outlineLevel="1" x14ac:dyDescent="0.2">
      <c r="A13" s="171"/>
      <c r="B13" s="171"/>
      <c r="C13" s="171"/>
      <c r="D13" s="176" t="s">
        <v>35</v>
      </c>
      <c r="E13" s="181">
        <v>44696</v>
      </c>
      <c r="F13" s="178">
        <v>7.0000000000000007E-2</v>
      </c>
      <c r="G13" s="178">
        <v>7.4999999999999997E-2</v>
      </c>
      <c r="H13" s="178">
        <v>7.7499999999999999E-2</v>
      </c>
      <c r="I13" s="179" t="s">
        <v>195</v>
      </c>
      <c r="J13" s="217" t="s">
        <v>195</v>
      </c>
      <c r="K13" s="184">
        <v>7593000</v>
      </c>
      <c r="L13" s="217" t="s">
        <v>195</v>
      </c>
      <c r="M13" s="217" t="s">
        <v>195</v>
      </c>
    </row>
    <row r="14" spans="1:17" s="71" customFormat="1" ht="12.75" customHeight="1" outlineLevel="1" x14ac:dyDescent="0.2">
      <c r="A14" s="171"/>
      <c r="B14" s="171"/>
      <c r="C14" s="171"/>
      <c r="D14" s="176" t="s">
        <v>43</v>
      </c>
      <c r="E14" s="181">
        <v>46522</v>
      </c>
      <c r="F14" s="178">
        <v>7.0000000000000007E-2</v>
      </c>
      <c r="G14" s="178">
        <v>7.6999999999999999E-2</v>
      </c>
      <c r="H14" s="178">
        <v>0.08</v>
      </c>
      <c r="I14" s="179">
        <v>7.7995400000000006E-2</v>
      </c>
      <c r="J14" s="179">
        <v>7.8600000000000003E-2</v>
      </c>
      <c r="K14" s="183">
        <v>5203000</v>
      </c>
      <c r="L14" s="184">
        <v>3600000</v>
      </c>
      <c r="M14" s="180">
        <f>K14/L14</f>
        <v>1.4452777777777779</v>
      </c>
    </row>
    <row r="15" spans="1:17" s="71" customFormat="1" ht="12.75" customHeight="1" outlineLevel="1" x14ac:dyDescent="0.2">
      <c r="A15" s="172"/>
      <c r="B15" s="172"/>
      <c r="C15" s="172"/>
      <c r="D15" s="176" t="s">
        <v>121</v>
      </c>
      <c r="E15" s="181">
        <v>49810</v>
      </c>
      <c r="F15" s="178">
        <v>8.2500000000000004E-2</v>
      </c>
      <c r="G15" s="178">
        <v>8.1100000000000005E-2</v>
      </c>
      <c r="H15" s="178">
        <v>8.4199999999999997E-2</v>
      </c>
      <c r="I15" s="179" t="s">
        <v>195</v>
      </c>
      <c r="J15" s="217" t="s">
        <v>195</v>
      </c>
      <c r="K15" s="184">
        <v>1875000</v>
      </c>
      <c r="L15" s="217" t="s">
        <v>195</v>
      </c>
      <c r="M15" s="217" t="s">
        <v>195</v>
      </c>
    </row>
    <row r="16" spans="1:17" s="71" customFormat="1" ht="12.75" customHeight="1" outlineLevel="1" x14ac:dyDescent="0.2">
      <c r="A16" s="297" t="s">
        <v>124</v>
      </c>
      <c r="B16" s="298"/>
      <c r="C16" s="298"/>
      <c r="D16" s="298"/>
      <c r="E16" s="298"/>
      <c r="F16" s="298"/>
      <c r="G16" s="298"/>
      <c r="H16" s="298"/>
      <c r="I16" s="298"/>
      <c r="J16" s="299"/>
      <c r="K16" s="185">
        <f>SUM(K11:K15)</f>
        <v>36901000</v>
      </c>
      <c r="L16" s="185">
        <f>SUM(L11:L15)</f>
        <v>15000000</v>
      </c>
      <c r="M16" s="186"/>
    </row>
    <row r="17" spans="1:13" s="71" customFormat="1" ht="12.75" customHeight="1" outlineLevel="1" x14ac:dyDescent="0.2">
      <c r="A17" s="177">
        <v>42379</v>
      </c>
      <c r="B17" s="177">
        <v>42381</v>
      </c>
      <c r="C17" s="177" t="s">
        <v>127</v>
      </c>
      <c r="D17" s="176" t="s">
        <v>149</v>
      </c>
      <c r="E17" s="181">
        <v>42927</v>
      </c>
      <c r="F17" s="178" t="s">
        <v>138</v>
      </c>
      <c r="G17" s="178">
        <v>5.8437500000000003E-2</v>
      </c>
      <c r="H17" s="178">
        <v>7.0000000000000007E-2</v>
      </c>
      <c r="I17" s="179">
        <v>5.8562500000000003E-2</v>
      </c>
      <c r="J17" s="179"/>
      <c r="K17" s="183">
        <v>17890000</v>
      </c>
      <c r="L17" s="184">
        <v>2000000</v>
      </c>
      <c r="M17" s="180">
        <f>K17/L17</f>
        <v>8.9450000000000003</v>
      </c>
    </row>
    <row r="18" spans="1:13" s="71" customFormat="1" ht="12.75" customHeight="1" outlineLevel="1" x14ac:dyDescent="0.2">
      <c r="A18" s="177"/>
      <c r="B18" s="171"/>
      <c r="C18" s="171"/>
      <c r="D18" s="195" t="s">
        <v>150</v>
      </c>
      <c r="E18" s="181">
        <v>43600</v>
      </c>
      <c r="F18" s="178">
        <v>6.25E-2</v>
      </c>
      <c r="G18" s="178">
        <v>7.0937500000000001E-2</v>
      </c>
      <c r="H18" s="178">
        <v>7.6249999999999998E-2</v>
      </c>
      <c r="I18" s="179">
        <v>7.1539099999999994E-2</v>
      </c>
      <c r="J18" s="179"/>
      <c r="K18" s="196">
        <v>3491700</v>
      </c>
      <c r="L18" s="196">
        <v>2190000</v>
      </c>
      <c r="M18" s="180">
        <f>K18/L18</f>
        <v>1.5943835616438355</v>
      </c>
    </row>
    <row r="19" spans="1:13" s="71" customFormat="1" ht="12.75" customHeight="1" outlineLevel="1" x14ac:dyDescent="0.2">
      <c r="A19" s="172"/>
      <c r="B19" s="171"/>
      <c r="C19" s="171"/>
      <c r="D19" s="195" t="s">
        <v>151</v>
      </c>
      <c r="E19" s="181">
        <v>44331</v>
      </c>
      <c r="F19" s="178">
        <v>6.5000000000000002E-2</v>
      </c>
      <c r="G19" s="178">
        <v>7.5624999999999998E-2</v>
      </c>
      <c r="H19" s="178">
        <v>7.6874999999999999E-2</v>
      </c>
      <c r="I19" s="179">
        <v>7.6260400000000006E-2</v>
      </c>
      <c r="J19" s="179"/>
      <c r="K19" s="196">
        <v>763000</v>
      </c>
      <c r="L19" s="196">
        <v>732857</v>
      </c>
      <c r="M19" s="180">
        <f>K19/L19</f>
        <v>1.0411308072379741</v>
      </c>
    </row>
    <row r="20" spans="1:13" s="71" customFormat="1" ht="12.75" customHeight="1" outlineLevel="1" x14ac:dyDescent="0.2">
      <c r="A20" s="172"/>
      <c r="B20" s="172"/>
      <c r="C20" s="172"/>
      <c r="D20" s="195" t="s">
        <v>122</v>
      </c>
      <c r="E20" s="181">
        <v>45153</v>
      </c>
      <c r="F20" s="178">
        <v>8.7499999999999994E-2</v>
      </c>
      <c r="G20" s="178">
        <v>7.8125E-2</v>
      </c>
      <c r="H20" s="178">
        <v>8.1562499999999996E-2</v>
      </c>
      <c r="I20" s="179">
        <v>7.9695500000000002E-2</v>
      </c>
      <c r="J20" s="179"/>
      <c r="K20" s="196">
        <v>976600</v>
      </c>
      <c r="L20" s="196">
        <v>795000</v>
      </c>
      <c r="M20" s="180">
        <f>K20/L20</f>
        <v>1.2284276729559749</v>
      </c>
    </row>
    <row r="21" spans="1:13" s="71" customFormat="1" ht="12.75" customHeight="1" outlineLevel="1" x14ac:dyDescent="0.2">
      <c r="A21" s="171"/>
      <c r="B21" s="171"/>
      <c r="C21" s="171"/>
      <c r="D21" s="195" t="s">
        <v>123</v>
      </c>
      <c r="E21" s="181">
        <v>48167</v>
      </c>
      <c r="F21" s="178">
        <v>8.8749999999999996E-2</v>
      </c>
      <c r="G21" s="178">
        <v>8.2500000000000004E-2</v>
      </c>
      <c r="H21" s="178">
        <v>8.5000000000000006E-2</v>
      </c>
      <c r="I21" s="178">
        <v>8.3630099999999999E-2</v>
      </c>
      <c r="J21" s="179"/>
      <c r="K21" s="168">
        <v>896000</v>
      </c>
      <c r="L21" s="168">
        <v>860000</v>
      </c>
      <c r="M21" s="180">
        <f>K21/L21</f>
        <v>1.0418604651162791</v>
      </c>
    </row>
    <row r="22" spans="1:13" s="71" customFormat="1" ht="12.75" customHeight="1" outlineLevel="1" x14ac:dyDescent="0.2">
      <c r="A22" s="297" t="s">
        <v>124</v>
      </c>
      <c r="B22" s="298"/>
      <c r="C22" s="298"/>
      <c r="D22" s="298"/>
      <c r="E22" s="298"/>
      <c r="F22" s="298"/>
      <c r="G22" s="298"/>
      <c r="H22" s="298"/>
      <c r="I22" s="298"/>
      <c r="J22" s="299"/>
      <c r="K22" s="185">
        <f>SUM(K17:K21)</f>
        <v>24017300</v>
      </c>
      <c r="L22" s="185">
        <f>SUM(L17:L21)</f>
        <v>6577857</v>
      </c>
      <c r="M22" s="186"/>
    </row>
    <row r="23" spans="1:13" s="71" customFormat="1" ht="12.75" customHeight="1" outlineLevel="1" x14ac:dyDescent="0.2">
      <c r="A23" s="177">
        <v>42752</v>
      </c>
      <c r="B23" s="177">
        <v>42754</v>
      </c>
      <c r="C23" s="177" t="s">
        <v>127</v>
      </c>
      <c r="D23" s="176" t="s">
        <v>148</v>
      </c>
      <c r="E23" s="181">
        <v>42843</v>
      </c>
      <c r="F23" s="178" t="s">
        <v>138</v>
      </c>
      <c r="G23" s="178">
        <v>0.05</v>
      </c>
      <c r="H23" s="178">
        <v>0.06</v>
      </c>
      <c r="I23" s="179">
        <v>5.1141699999999998E-2</v>
      </c>
      <c r="J23" s="179">
        <v>5.1999999999999998E-2</v>
      </c>
      <c r="K23" s="183">
        <v>20380000</v>
      </c>
      <c r="L23" s="183">
        <v>5000000</v>
      </c>
      <c r="M23" s="180">
        <f>K23/L23</f>
        <v>4.0759999999999996</v>
      </c>
    </row>
    <row r="24" spans="1:13" s="71" customFormat="1" ht="12.75" customHeight="1" outlineLevel="1" x14ac:dyDescent="0.2">
      <c r="A24" s="172"/>
      <c r="B24" s="172"/>
      <c r="C24" s="172"/>
      <c r="D24" s="176" t="s">
        <v>147</v>
      </c>
      <c r="E24" s="181">
        <v>43104</v>
      </c>
      <c r="F24" s="178" t="s">
        <v>138</v>
      </c>
      <c r="G24" s="178">
        <v>5.8999999999999997E-2</v>
      </c>
      <c r="H24" s="178">
        <v>6.9000000000000006E-2</v>
      </c>
      <c r="I24" s="179">
        <v>5.9902499999999997E-2</v>
      </c>
      <c r="J24" s="179">
        <v>6.0999999999999999E-2</v>
      </c>
      <c r="K24" s="183">
        <v>17205000</v>
      </c>
      <c r="L24" s="183">
        <v>5000000</v>
      </c>
      <c r="M24" s="180">
        <f>K24/L24</f>
        <v>3.4409999999999998</v>
      </c>
    </row>
    <row r="25" spans="1:13" s="71" customFormat="1" ht="12.75" customHeight="1" outlineLevel="1" x14ac:dyDescent="0.2">
      <c r="A25" s="171"/>
      <c r="B25" s="171"/>
      <c r="C25" s="171"/>
      <c r="D25" s="176" t="s">
        <v>43</v>
      </c>
      <c r="E25" s="181">
        <v>46522</v>
      </c>
      <c r="F25" s="178">
        <v>7.0000000000000007E-2</v>
      </c>
      <c r="G25" s="178">
        <v>7.4399999999999994E-2</v>
      </c>
      <c r="H25" s="178">
        <v>7.8E-2</v>
      </c>
      <c r="I25" s="179">
        <v>7.50995E-2</v>
      </c>
      <c r="J25" s="179">
        <v>7.5300000000000006E-2</v>
      </c>
      <c r="K25" s="184">
        <v>8566700</v>
      </c>
      <c r="L25" s="184">
        <v>5600000</v>
      </c>
      <c r="M25" s="180">
        <f>K25/L25</f>
        <v>1.5297678571428572</v>
      </c>
    </row>
    <row r="26" spans="1:13" s="71" customFormat="1" ht="12.75" customHeight="1" outlineLevel="1" x14ac:dyDescent="0.2">
      <c r="A26" s="171"/>
      <c r="B26" s="171"/>
      <c r="C26" s="171"/>
      <c r="D26" s="176" t="s">
        <v>140</v>
      </c>
      <c r="E26" s="181">
        <v>48441</v>
      </c>
      <c r="F26" s="178">
        <v>7.4999999999999997E-2</v>
      </c>
      <c r="G26" s="178">
        <v>7.6799999999999993E-2</v>
      </c>
      <c r="H26" s="178">
        <v>0.08</v>
      </c>
      <c r="I26" s="179">
        <v>7.7993599999999996E-2</v>
      </c>
      <c r="J26" s="179">
        <v>7.8399999999999997E-2</v>
      </c>
      <c r="K26" s="183">
        <v>3666000</v>
      </c>
      <c r="L26" s="184">
        <v>2600000</v>
      </c>
      <c r="M26" s="180">
        <f>K26/L26</f>
        <v>1.41</v>
      </c>
    </row>
    <row r="27" spans="1:13" s="71" customFormat="1" ht="12.75" customHeight="1" outlineLevel="1" x14ac:dyDescent="0.2">
      <c r="A27" s="172"/>
      <c r="B27" s="172"/>
      <c r="C27" s="172"/>
      <c r="D27" s="176" t="s">
        <v>121</v>
      </c>
      <c r="E27" s="181">
        <v>49810</v>
      </c>
      <c r="F27" s="178">
        <v>8.2500000000000004E-2</v>
      </c>
      <c r="G27" s="178">
        <v>7.9699999999999993E-2</v>
      </c>
      <c r="H27" s="178">
        <v>8.5000000000000006E-2</v>
      </c>
      <c r="I27" s="179">
        <v>8.0098500000000003E-2</v>
      </c>
      <c r="J27" s="179">
        <v>8.3000000000000004E-2</v>
      </c>
      <c r="K27" s="184">
        <v>3876500</v>
      </c>
      <c r="L27" s="184">
        <v>2150000</v>
      </c>
      <c r="M27" s="180">
        <f>K27/L27</f>
        <v>1.8030232558139534</v>
      </c>
    </row>
    <row r="28" spans="1:13" s="71" customFormat="1" ht="12.75" customHeight="1" outlineLevel="1" x14ac:dyDescent="0.2">
      <c r="A28" s="297" t="s">
        <v>124</v>
      </c>
      <c r="B28" s="298"/>
      <c r="C28" s="298"/>
      <c r="D28" s="298"/>
      <c r="E28" s="298"/>
      <c r="F28" s="298"/>
      <c r="G28" s="298"/>
      <c r="H28" s="298"/>
      <c r="I28" s="298"/>
      <c r="J28" s="299"/>
      <c r="K28" s="185">
        <f>SUM(K23:K27)</f>
        <v>53694200</v>
      </c>
      <c r="L28" s="185">
        <f>SUM(L23:L27)</f>
        <v>20350000</v>
      </c>
      <c r="M28" s="186"/>
    </row>
    <row r="29" spans="1:13" s="71" customFormat="1" ht="12.75" customHeight="1" outlineLevel="1" x14ac:dyDescent="0.2">
      <c r="A29" s="177">
        <v>42759</v>
      </c>
      <c r="B29" s="177">
        <v>42761</v>
      </c>
      <c r="C29" s="177" t="s">
        <v>127</v>
      </c>
      <c r="D29" s="176" t="s">
        <v>149</v>
      </c>
      <c r="E29" s="181">
        <v>42927</v>
      </c>
      <c r="F29" s="178" t="s">
        <v>138</v>
      </c>
      <c r="G29" s="178">
        <v>5.1562499999999997E-2</v>
      </c>
      <c r="H29" s="178">
        <v>6.5000000000000002E-2</v>
      </c>
      <c r="I29" s="179">
        <v>5.32831E-2</v>
      </c>
      <c r="J29" s="179"/>
      <c r="K29" s="183">
        <v>14503000</v>
      </c>
      <c r="L29" s="183">
        <v>2000000</v>
      </c>
      <c r="M29" s="180">
        <f>K29/L29</f>
        <v>7.2515000000000001</v>
      </c>
    </row>
    <row r="30" spans="1:13" s="71" customFormat="1" ht="12.75" customHeight="1" outlineLevel="1" x14ac:dyDescent="0.2">
      <c r="A30" s="177"/>
      <c r="B30" s="171"/>
      <c r="C30" s="171"/>
      <c r="D30" s="195" t="s">
        <v>150</v>
      </c>
      <c r="E30" s="181">
        <v>43600</v>
      </c>
      <c r="F30" s="178">
        <v>6.25E-2</v>
      </c>
      <c r="G30" s="178">
        <v>6.8750000000000006E-2</v>
      </c>
      <c r="H30" s="178">
        <v>7.6249999999999998E-2</v>
      </c>
      <c r="I30" s="179">
        <v>7.0505700000000004E-2</v>
      </c>
      <c r="J30" s="179"/>
      <c r="K30" s="196">
        <v>6847000</v>
      </c>
      <c r="L30" s="196">
        <v>3000000</v>
      </c>
      <c r="M30" s="180">
        <f>K30/L30</f>
        <v>2.2823333333333333</v>
      </c>
    </row>
    <row r="31" spans="1:13" s="71" customFormat="1" ht="12.75" customHeight="1" outlineLevel="1" x14ac:dyDescent="0.2">
      <c r="A31" s="172"/>
      <c r="B31" s="171"/>
      <c r="C31" s="171"/>
      <c r="D31" s="195" t="s">
        <v>151</v>
      </c>
      <c r="E31" s="181">
        <v>44331</v>
      </c>
      <c r="F31" s="178">
        <v>6.5000000000000002E-2</v>
      </c>
      <c r="G31" s="178">
        <v>7.1562500000000001E-2</v>
      </c>
      <c r="H31" s="178">
        <v>7.6249999999999998E-2</v>
      </c>
      <c r="I31" s="179">
        <v>7.4496599999999996E-2</v>
      </c>
      <c r="J31" s="179"/>
      <c r="K31" s="196">
        <v>1229000</v>
      </c>
      <c r="L31" s="196">
        <v>850000</v>
      </c>
      <c r="M31" s="180">
        <f>K31/L31</f>
        <v>1.4458823529411764</v>
      </c>
    </row>
    <row r="32" spans="1:13" s="71" customFormat="1" ht="12.75" customHeight="1" outlineLevel="1" x14ac:dyDescent="0.2">
      <c r="A32" s="172"/>
      <c r="B32" s="172"/>
      <c r="C32" s="172"/>
      <c r="D32" s="195" t="s">
        <v>122</v>
      </c>
      <c r="E32" s="181">
        <v>45153</v>
      </c>
      <c r="F32" s="178">
        <v>8.7499999999999994E-2</v>
      </c>
      <c r="G32" s="178">
        <v>7.8125E-2</v>
      </c>
      <c r="H32" s="178">
        <v>0.08</v>
      </c>
      <c r="I32" s="179">
        <v>7.7991699999999997E-2</v>
      </c>
      <c r="J32" s="179"/>
      <c r="K32" s="196">
        <v>644000</v>
      </c>
      <c r="L32" s="196">
        <v>230000</v>
      </c>
      <c r="M32" s="180">
        <f>K32/L32</f>
        <v>2.8</v>
      </c>
    </row>
    <row r="33" spans="1:16" s="71" customFormat="1" ht="12.75" customHeight="1" outlineLevel="1" x14ac:dyDescent="0.2">
      <c r="A33" s="171"/>
      <c r="B33" s="171"/>
      <c r="C33" s="171"/>
      <c r="D33" s="195" t="s">
        <v>123</v>
      </c>
      <c r="E33" s="181">
        <v>48167</v>
      </c>
      <c r="F33" s="178">
        <v>8.8749999999999996E-2</v>
      </c>
      <c r="G33" s="178">
        <v>8.1875000000000003E-2</v>
      </c>
      <c r="H33" s="178">
        <v>8.4062499999999998E-2</v>
      </c>
      <c r="I33" s="178">
        <v>8.24931E-2</v>
      </c>
      <c r="J33" s="179"/>
      <c r="K33" s="168">
        <v>502500</v>
      </c>
      <c r="L33" s="168">
        <v>225000</v>
      </c>
      <c r="M33" s="180">
        <f>K33/L33</f>
        <v>2.2333333333333334</v>
      </c>
    </row>
    <row r="34" spans="1:16" s="71" customFormat="1" ht="12.75" customHeight="1" outlineLevel="1" x14ac:dyDescent="0.2">
      <c r="A34" s="297" t="s">
        <v>124</v>
      </c>
      <c r="B34" s="298"/>
      <c r="C34" s="298"/>
      <c r="D34" s="298"/>
      <c r="E34" s="298"/>
      <c r="F34" s="298"/>
      <c r="G34" s="298"/>
      <c r="H34" s="298"/>
      <c r="I34" s="298"/>
      <c r="J34" s="299"/>
      <c r="K34" s="185">
        <f>SUM(K29:K33)</f>
        <v>23725500</v>
      </c>
      <c r="L34" s="185">
        <f>SUM(L29:L33)</f>
        <v>6305000</v>
      </c>
      <c r="M34" s="186"/>
    </row>
    <row r="35" spans="1:16" s="223" customFormat="1" ht="12.75" customHeight="1" x14ac:dyDescent="0.2">
      <c r="A35" s="300" t="s">
        <v>216</v>
      </c>
      <c r="B35" s="301"/>
      <c r="C35" s="301"/>
      <c r="D35" s="301"/>
      <c r="E35" s="301"/>
      <c r="F35" s="301"/>
      <c r="G35" s="301"/>
      <c r="H35" s="301"/>
      <c r="I35" s="301"/>
      <c r="J35" s="302"/>
      <c r="K35" s="258">
        <f>SUM(K10,K16,K22,K28,K34)</f>
        <v>300158000</v>
      </c>
      <c r="L35" s="258">
        <f>SUM(L10,L16,L22,L28,L34)</f>
        <v>95430357</v>
      </c>
      <c r="M35" s="255"/>
      <c r="O35" s="253"/>
      <c r="P35" s="251"/>
    </row>
    <row r="36" spans="1:16" ht="12.75" customHeight="1" x14ac:dyDescent="0.2">
      <c r="A36" s="300" t="s">
        <v>215</v>
      </c>
      <c r="B36" s="301"/>
      <c r="C36" s="301"/>
      <c r="D36" s="301"/>
      <c r="E36" s="301"/>
      <c r="F36" s="301"/>
      <c r="G36" s="301"/>
      <c r="H36" s="301"/>
      <c r="I36" s="301"/>
      <c r="J36" s="302"/>
      <c r="K36" s="175">
        <f>SUM(K10,K16,K22,K28,K34)</f>
        <v>300158000</v>
      </c>
      <c r="L36" s="175">
        <f>SUM(L10,L16,L22,L28,L34)</f>
        <v>95430357</v>
      </c>
      <c r="M36" s="169"/>
      <c r="N36" s="39"/>
    </row>
    <row r="37" spans="1:16" s="71" customFormat="1" ht="12.75" customHeight="1" outlineLevel="1" x14ac:dyDescent="0.2">
      <c r="A37" s="177">
        <v>42766</v>
      </c>
      <c r="B37" s="177">
        <v>42768</v>
      </c>
      <c r="C37" s="177" t="s">
        <v>127</v>
      </c>
      <c r="D37" s="176" t="s">
        <v>152</v>
      </c>
      <c r="E37" s="181">
        <v>42856</v>
      </c>
      <c r="F37" s="178" t="s">
        <v>138</v>
      </c>
      <c r="G37" s="178">
        <v>4.8500000000000001E-2</v>
      </c>
      <c r="H37" s="178">
        <v>5.6000000000000001E-2</v>
      </c>
      <c r="I37" s="179">
        <v>5.02014E-2</v>
      </c>
      <c r="J37" s="179">
        <v>5.0900000000000001E-2</v>
      </c>
      <c r="K37" s="183">
        <v>19480000</v>
      </c>
      <c r="L37" s="183">
        <v>5550000</v>
      </c>
      <c r="M37" s="180">
        <f>K37/L37</f>
        <v>3.50990990990991</v>
      </c>
    </row>
    <row r="38" spans="1:16" s="71" customFormat="1" ht="12.75" customHeight="1" outlineLevel="1" x14ac:dyDescent="0.2">
      <c r="A38" s="172"/>
      <c r="B38" s="172"/>
      <c r="C38" s="172"/>
      <c r="D38" s="176" t="s">
        <v>153</v>
      </c>
      <c r="E38" s="181">
        <v>43132</v>
      </c>
      <c r="F38" s="178" t="s">
        <v>138</v>
      </c>
      <c r="G38" s="178">
        <v>5.8500000000000003E-2</v>
      </c>
      <c r="H38" s="178">
        <v>6.7000000000000004E-2</v>
      </c>
      <c r="I38" s="179">
        <v>5.9024300000000002E-2</v>
      </c>
      <c r="J38" s="179">
        <v>0.06</v>
      </c>
      <c r="K38" s="183">
        <v>15480000</v>
      </c>
      <c r="L38" s="183">
        <v>9450000</v>
      </c>
      <c r="M38" s="180">
        <f>K38/L38</f>
        <v>1.638095238095238</v>
      </c>
    </row>
    <row r="39" spans="1:16" s="71" customFormat="1" ht="12.75" customHeight="1" outlineLevel="1" x14ac:dyDescent="0.2">
      <c r="A39" s="171"/>
      <c r="B39" s="171"/>
      <c r="C39" s="171"/>
      <c r="D39" s="176" t="s">
        <v>35</v>
      </c>
      <c r="E39" s="181">
        <v>44696</v>
      </c>
      <c r="F39" s="178">
        <v>7.0000000000000007E-2</v>
      </c>
      <c r="G39" s="178">
        <v>7.1999999999999995E-2</v>
      </c>
      <c r="H39" s="178">
        <v>7.4499999999999997E-2</v>
      </c>
      <c r="I39" s="179">
        <v>7.2898699999999997E-2</v>
      </c>
      <c r="J39" s="179">
        <v>7.3099999999999998E-2</v>
      </c>
      <c r="K39" s="184">
        <v>5973500</v>
      </c>
      <c r="L39" s="184">
        <v>2250000</v>
      </c>
      <c r="M39" s="180">
        <f>K39/L39</f>
        <v>2.6548888888888889</v>
      </c>
    </row>
    <row r="40" spans="1:16" s="71" customFormat="1" ht="12.75" customHeight="1" outlineLevel="1" x14ac:dyDescent="0.2">
      <c r="A40" s="171"/>
      <c r="B40" s="171"/>
      <c r="C40" s="171"/>
      <c r="D40" s="176" t="s">
        <v>43</v>
      </c>
      <c r="E40" s="181">
        <v>46522</v>
      </c>
      <c r="F40" s="178">
        <v>7.0000000000000007E-2</v>
      </c>
      <c r="G40" s="178">
        <v>7.5499999999999998E-2</v>
      </c>
      <c r="H40" s="178">
        <v>7.9000000000000001E-2</v>
      </c>
      <c r="I40" s="179">
        <v>7.62988E-2</v>
      </c>
      <c r="J40" s="179">
        <v>7.6600000000000001E-2</v>
      </c>
      <c r="K40" s="183">
        <v>6827300</v>
      </c>
      <c r="L40" s="184">
        <v>3800000</v>
      </c>
      <c r="M40" s="180">
        <f>K40/L40</f>
        <v>1.7966578947368421</v>
      </c>
    </row>
    <row r="41" spans="1:16" s="71" customFormat="1" ht="12.75" customHeight="1" outlineLevel="1" x14ac:dyDescent="0.2">
      <c r="A41" s="172"/>
      <c r="B41" s="172"/>
      <c r="C41" s="172"/>
      <c r="D41" s="176" t="s">
        <v>140</v>
      </c>
      <c r="E41" s="181">
        <v>48441</v>
      </c>
      <c r="F41" s="178">
        <v>7.4999999999999997E-2</v>
      </c>
      <c r="G41" s="178">
        <v>7.9500000000000001E-2</v>
      </c>
      <c r="H41" s="178">
        <v>8.2000000000000003E-2</v>
      </c>
      <c r="I41" s="179">
        <v>7.9996399999999995E-2</v>
      </c>
      <c r="J41" s="179">
        <v>8.0199999999999994E-2</v>
      </c>
      <c r="K41" s="184">
        <v>1682400</v>
      </c>
      <c r="L41" s="184">
        <v>950000</v>
      </c>
      <c r="M41" s="180">
        <f>K41/L41</f>
        <v>1.7709473684210526</v>
      </c>
    </row>
    <row r="42" spans="1:16" s="71" customFormat="1" ht="12.75" customHeight="1" outlineLevel="1" x14ac:dyDescent="0.2">
      <c r="A42" s="297" t="s">
        <v>124</v>
      </c>
      <c r="B42" s="298"/>
      <c r="C42" s="298"/>
      <c r="D42" s="298"/>
      <c r="E42" s="298"/>
      <c r="F42" s="298"/>
      <c r="G42" s="298"/>
      <c r="H42" s="298"/>
      <c r="I42" s="298"/>
      <c r="J42" s="299"/>
      <c r="K42" s="185">
        <f>SUM(K37:K41)</f>
        <v>49443200</v>
      </c>
      <c r="L42" s="185">
        <f>SUM(L37:L41)</f>
        <v>22000000</v>
      </c>
      <c r="M42" s="186"/>
    </row>
    <row r="43" spans="1:16" ht="12.75" customHeight="1" x14ac:dyDescent="0.2">
      <c r="A43" s="177">
        <v>42773</v>
      </c>
      <c r="B43" s="177">
        <v>42775</v>
      </c>
      <c r="C43" s="177" t="s">
        <v>127</v>
      </c>
      <c r="D43" s="176" t="s">
        <v>154</v>
      </c>
      <c r="E43" s="181">
        <v>42955</v>
      </c>
      <c r="F43" s="178" t="s">
        <v>138</v>
      </c>
      <c r="G43" s="178">
        <v>5.1249999999999997E-2</v>
      </c>
      <c r="H43" s="178">
        <v>0.06</v>
      </c>
      <c r="I43" s="179">
        <v>5.3675E-2</v>
      </c>
      <c r="J43" s="179"/>
      <c r="K43" s="183">
        <v>8215000</v>
      </c>
      <c r="L43" s="183">
        <v>2000000</v>
      </c>
      <c r="M43" s="180">
        <f>K43/L43</f>
        <v>4.1074999999999999</v>
      </c>
    </row>
    <row r="44" spans="1:16" ht="12.75" customHeight="1" x14ac:dyDescent="0.2">
      <c r="A44" s="177"/>
      <c r="B44" s="171"/>
      <c r="C44" s="171"/>
      <c r="D44" s="195" t="s">
        <v>150</v>
      </c>
      <c r="E44" s="181">
        <v>43600</v>
      </c>
      <c r="F44" s="178">
        <v>6.25E-2</v>
      </c>
      <c r="G44" s="178">
        <v>6.9687499999999999E-2</v>
      </c>
      <c r="H44" s="178">
        <v>7.4999999999999997E-2</v>
      </c>
      <c r="I44" s="179">
        <v>7.0372199999999996E-2</v>
      </c>
      <c r="J44" s="179"/>
      <c r="K44" s="196">
        <v>7345000</v>
      </c>
      <c r="L44" s="196">
        <v>2700000</v>
      </c>
      <c r="M44" s="180">
        <f>K44/L44</f>
        <v>2.7203703703703703</v>
      </c>
    </row>
    <row r="45" spans="1:16" ht="12.75" customHeight="1" x14ac:dyDescent="0.2">
      <c r="A45" s="172"/>
      <c r="B45" s="171"/>
      <c r="C45" s="171"/>
      <c r="D45" s="195" t="s">
        <v>151</v>
      </c>
      <c r="E45" s="181">
        <v>44331</v>
      </c>
      <c r="F45" s="178">
        <v>6.5000000000000002E-2</v>
      </c>
      <c r="G45" s="178">
        <v>7.4374999999999997E-2</v>
      </c>
      <c r="H45" s="178">
        <v>7.6562500000000006E-2</v>
      </c>
      <c r="I45" s="179">
        <v>7.4999300000000005E-2</v>
      </c>
      <c r="J45" s="179"/>
      <c r="K45" s="196">
        <v>1290000</v>
      </c>
      <c r="L45" s="196">
        <v>620000</v>
      </c>
      <c r="M45" s="180">
        <f>K45/L45</f>
        <v>2.0806451612903225</v>
      </c>
    </row>
    <row r="46" spans="1:16" ht="12.75" customHeight="1" x14ac:dyDescent="0.2">
      <c r="A46" s="172"/>
      <c r="B46" s="172"/>
      <c r="C46" s="172"/>
      <c r="D46" s="195" t="s">
        <v>122</v>
      </c>
      <c r="E46" s="181">
        <v>45153</v>
      </c>
      <c r="F46" s="178">
        <v>8.7499999999999994E-2</v>
      </c>
      <c r="G46" s="178">
        <v>7.8125E-2</v>
      </c>
      <c r="H46" s="178">
        <v>8.2500000000000004E-2</v>
      </c>
      <c r="I46" s="179">
        <v>7.8788499999999997E-2</v>
      </c>
      <c r="J46" s="179"/>
      <c r="K46" s="196">
        <v>461000</v>
      </c>
      <c r="L46" s="196">
        <v>200000</v>
      </c>
      <c r="M46" s="180">
        <f>K46/L46</f>
        <v>2.3050000000000002</v>
      </c>
    </row>
    <row r="47" spans="1:16" ht="12.75" customHeight="1" x14ac:dyDescent="0.2">
      <c r="A47" s="171"/>
      <c r="B47" s="171"/>
      <c r="C47" s="171"/>
      <c r="D47" s="195" t="s">
        <v>123</v>
      </c>
      <c r="E47" s="181">
        <v>48167</v>
      </c>
      <c r="F47" s="178">
        <v>8.8749999999999996E-2</v>
      </c>
      <c r="G47" s="178">
        <v>8.2500000000000004E-2</v>
      </c>
      <c r="H47" s="178">
        <v>8.4062499999999998E-2</v>
      </c>
      <c r="I47" s="178">
        <v>8.3385200000000007E-2</v>
      </c>
      <c r="J47" s="179"/>
      <c r="K47" s="168">
        <v>2052600</v>
      </c>
      <c r="L47" s="168">
        <v>2052600</v>
      </c>
      <c r="M47" s="180">
        <f>K47/L47</f>
        <v>1</v>
      </c>
    </row>
    <row r="48" spans="1:16" ht="12.75" customHeight="1" x14ac:dyDescent="0.2">
      <c r="A48" s="297" t="s">
        <v>124</v>
      </c>
      <c r="B48" s="298"/>
      <c r="C48" s="298"/>
      <c r="D48" s="298"/>
      <c r="E48" s="298"/>
      <c r="F48" s="298"/>
      <c r="G48" s="298"/>
      <c r="H48" s="298"/>
      <c r="I48" s="298"/>
      <c r="J48" s="299"/>
      <c r="K48" s="185">
        <f>SUM(K43:K47)</f>
        <v>19363600</v>
      </c>
      <c r="L48" s="185">
        <f>SUM(L43:L47)</f>
        <v>7572600</v>
      </c>
      <c r="M48" s="186"/>
    </row>
    <row r="49" spans="1:16" s="71" customFormat="1" ht="12.75" customHeight="1" outlineLevel="1" x14ac:dyDescent="0.2">
      <c r="A49" s="177">
        <v>42780</v>
      </c>
      <c r="B49" s="177">
        <v>42783</v>
      </c>
      <c r="C49" s="177" t="s">
        <v>127</v>
      </c>
      <c r="D49" s="176" t="s">
        <v>158</v>
      </c>
      <c r="E49" s="181">
        <v>42870</v>
      </c>
      <c r="F49" s="178" t="s">
        <v>138</v>
      </c>
      <c r="G49" s="178">
        <v>4.99E-2</v>
      </c>
      <c r="H49" s="178">
        <v>5.5E-2</v>
      </c>
      <c r="I49" s="179">
        <v>5.0555799999999998E-2</v>
      </c>
      <c r="J49" s="179">
        <v>5.0999999999999997E-2</v>
      </c>
      <c r="K49" s="183">
        <v>9955000</v>
      </c>
      <c r="L49" s="183">
        <v>5000000</v>
      </c>
      <c r="M49" s="180">
        <f>K49/L49</f>
        <v>1.9910000000000001</v>
      </c>
    </row>
    <row r="50" spans="1:16" s="71" customFormat="1" ht="12.75" customHeight="1" outlineLevel="1" x14ac:dyDescent="0.2">
      <c r="A50" s="172"/>
      <c r="B50" s="172"/>
      <c r="C50" s="172"/>
      <c r="D50" s="176" t="s">
        <v>153</v>
      </c>
      <c r="E50" s="181">
        <v>43132</v>
      </c>
      <c r="F50" s="178" t="s">
        <v>138</v>
      </c>
      <c r="G50" s="178">
        <v>5.8799999999999998E-2</v>
      </c>
      <c r="H50" s="178">
        <v>6.1499999999999999E-2</v>
      </c>
      <c r="I50" s="179">
        <v>5.9844799999999997E-2</v>
      </c>
      <c r="J50" s="179">
        <v>6.0199999999999997E-2</v>
      </c>
      <c r="K50" s="183">
        <v>8005000</v>
      </c>
      <c r="L50" s="183">
        <v>5000000</v>
      </c>
      <c r="M50" s="180">
        <f>K50/L50</f>
        <v>1.601</v>
      </c>
    </row>
    <row r="51" spans="1:16" s="71" customFormat="1" ht="12.75" customHeight="1" outlineLevel="1" x14ac:dyDescent="0.2">
      <c r="A51" s="171"/>
      <c r="B51" s="171"/>
      <c r="C51" s="171"/>
      <c r="D51" s="176" t="s">
        <v>43</v>
      </c>
      <c r="E51" s="181">
        <v>46522</v>
      </c>
      <c r="F51" s="178">
        <v>7.0000000000000007E-2</v>
      </c>
      <c r="G51" s="178">
        <v>7.4999999999999997E-2</v>
      </c>
      <c r="H51" s="178">
        <v>7.6999999999999999E-2</v>
      </c>
      <c r="I51" s="179">
        <v>7.5398800000000002E-2</v>
      </c>
      <c r="J51" s="179">
        <v>7.5600000000000001E-2</v>
      </c>
      <c r="K51" s="184">
        <v>7285600</v>
      </c>
      <c r="L51" s="184">
        <v>4650000</v>
      </c>
      <c r="M51" s="180">
        <f>K51/L51</f>
        <v>1.5667956989247311</v>
      </c>
    </row>
    <row r="52" spans="1:16" s="71" customFormat="1" ht="12.75" customHeight="1" outlineLevel="1" x14ac:dyDescent="0.2">
      <c r="A52" s="171"/>
      <c r="B52" s="171"/>
      <c r="C52" s="171"/>
      <c r="D52" s="176" t="s">
        <v>140</v>
      </c>
      <c r="E52" s="181">
        <v>48441</v>
      </c>
      <c r="F52" s="178">
        <v>7.4999999999999997E-2</v>
      </c>
      <c r="G52" s="178">
        <v>7.85E-2</v>
      </c>
      <c r="H52" s="178">
        <v>7.9799999999999996E-2</v>
      </c>
      <c r="I52" s="179">
        <v>7.8799800000000003E-2</v>
      </c>
      <c r="J52" s="179">
        <v>7.9000000000000001E-2</v>
      </c>
      <c r="K52" s="183">
        <v>2720300</v>
      </c>
      <c r="L52" s="184">
        <v>1130000</v>
      </c>
      <c r="M52" s="180">
        <f>K52/L52</f>
        <v>2.4073451327433628</v>
      </c>
    </row>
    <row r="53" spans="1:16" s="71" customFormat="1" ht="12.75" customHeight="1" outlineLevel="1" x14ac:dyDescent="0.2">
      <c r="A53" s="172"/>
      <c r="B53" s="172"/>
      <c r="C53" s="172"/>
      <c r="D53" s="176" t="s">
        <v>121</v>
      </c>
      <c r="E53" s="181">
        <v>49810</v>
      </c>
      <c r="F53" s="178">
        <v>8.2500000000000004E-2</v>
      </c>
      <c r="G53" s="178">
        <v>8.0500000000000002E-2</v>
      </c>
      <c r="H53" s="178">
        <v>8.2500000000000004E-2</v>
      </c>
      <c r="I53" s="179">
        <v>7.1096300000000001E-2</v>
      </c>
      <c r="J53" s="179">
        <v>8.14E-2</v>
      </c>
      <c r="K53" s="184">
        <v>3848400</v>
      </c>
      <c r="L53" s="184">
        <v>2650000</v>
      </c>
      <c r="M53" s="180">
        <f>K53/L53</f>
        <v>1.4522264150943396</v>
      </c>
    </row>
    <row r="54" spans="1:16" s="71" customFormat="1" ht="12.75" customHeight="1" outlineLevel="1" x14ac:dyDescent="0.2">
      <c r="A54" s="297" t="s">
        <v>124</v>
      </c>
      <c r="B54" s="298"/>
      <c r="C54" s="298"/>
      <c r="D54" s="298"/>
      <c r="E54" s="298"/>
      <c r="F54" s="298"/>
      <c r="G54" s="298"/>
      <c r="H54" s="298"/>
      <c r="I54" s="298"/>
      <c r="J54" s="299"/>
      <c r="K54" s="185">
        <f>SUM(K49:K53)</f>
        <v>31814300</v>
      </c>
      <c r="L54" s="185">
        <f>SUM(L49:L53)</f>
        <v>18430000</v>
      </c>
      <c r="M54" s="186"/>
    </row>
    <row r="55" spans="1:16" s="71" customFormat="1" ht="12.75" customHeight="1" outlineLevel="1" x14ac:dyDescent="0.2">
      <c r="A55" s="177">
        <v>42787</v>
      </c>
      <c r="B55" s="177">
        <v>42789</v>
      </c>
      <c r="C55" s="177" t="s">
        <v>127</v>
      </c>
      <c r="D55" s="176" t="s">
        <v>154</v>
      </c>
      <c r="E55" s="181">
        <v>42955</v>
      </c>
      <c r="F55" s="178" t="s">
        <v>138</v>
      </c>
      <c r="G55" s="178">
        <v>5.3437499999999999E-2</v>
      </c>
      <c r="H55" s="178">
        <v>6.5000000000000002E-2</v>
      </c>
      <c r="I55" s="179">
        <v>5.5031900000000002E-2</v>
      </c>
      <c r="J55" s="179"/>
      <c r="K55" s="183">
        <v>4536000</v>
      </c>
      <c r="L55" s="183">
        <v>2550000</v>
      </c>
      <c r="M55" s="180">
        <f>K55/L55</f>
        <v>1.7788235294117647</v>
      </c>
    </row>
    <row r="56" spans="1:16" s="71" customFormat="1" ht="12.75" customHeight="1" outlineLevel="1" x14ac:dyDescent="0.2">
      <c r="A56" s="177"/>
      <c r="B56" s="171"/>
      <c r="C56" s="171"/>
      <c r="D56" s="195" t="s">
        <v>150</v>
      </c>
      <c r="E56" s="181">
        <v>43600</v>
      </c>
      <c r="F56" s="178">
        <v>6.25E-2</v>
      </c>
      <c r="G56" s="178">
        <v>6.9687499999999999E-2</v>
      </c>
      <c r="H56" s="178">
        <v>7.5312500000000004E-2</v>
      </c>
      <c r="I56" s="179">
        <v>7.08955E-2</v>
      </c>
      <c r="J56" s="179"/>
      <c r="K56" s="196">
        <v>3328000</v>
      </c>
      <c r="L56" s="196">
        <v>2820000</v>
      </c>
      <c r="M56" s="180">
        <f>K56/L56</f>
        <v>1.1801418439716311</v>
      </c>
    </row>
    <row r="57" spans="1:16" s="71" customFormat="1" ht="12.75" customHeight="1" outlineLevel="1" x14ac:dyDescent="0.2">
      <c r="A57" s="172"/>
      <c r="B57" s="171"/>
      <c r="C57" s="171"/>
      <c r="D57" s="195" t="s">
        <v>151</v>
      </c>
      <c r="E57" s="181">
        <v>44331</v>
      </c>
      <c r="F57" s="178">
        <v>6.5000000000000002E-2</v>
      </c>
      <c r="G57" s="178">
        <v>7.4062500000000003E-2</v>
      </c>
      <c r="H57" s="178">
        <v>7.5937500000000005E-2</v>
      </c>
      <c r="I57" s="179">
        <v>7.4499499999999996E-2</v>
      </c>
      <c r="J57" s="179"/>
      <c r="K57" s="196">
        <v>500000</v>
      </c>
      <c r="L57" s="196">
        <v>165000</v>
      </c>
      <c r="M57" s="180">
        <f>K57/L57</f>
        <v>3.0303030303030303</v>
      </c>
    </row>
    <row r="58" spans="1:16" s="71" customFormat="1" ht="12.75" customHeight="1" outlineLevel="1" x14ac:dyDescent="0.2">
      <c r="A58" s="172"/>
      <c r="B58" s="172"/>
      <c r="C58" s="172"/>
      <c r="D58" s="195" t="s">
        <v>122</v>
      </c>
      <c r="E58" s="181">
        <v>45153</v>
      </c>
      <c r="F58" s="178">
        <v>8.7499999999999994E-2</v>
      </c>
      <c r="G58" s="178">
        <v>7.8125E-2</v>
      </c>
      <c r="H58" s="178">
        <v>7.9687499999999994E-2</v>
      </c>
      <c r="I58" s="179">
        <v>7.8798400000000005E-2</v>
      </c>
      <c r="J58" s="179"/>
      <c r="K58" s="196">
        <v>1190000</v>
      </c>
      <c r="L58" s="196">
        <v>480000</v>
      </c>
      <c r="M58" s="180">
        <f>K58/L58</f>
        <v>2.4791666666666665</v>
      </c>
    </row>
    <row r="59" spans="1:16" s="71" customFormat="1" ht="12.75" customHeight="1" outlineLevel="1" x14ac:dyDescent="0.2">
      <c r="A59" s="171"/>
      <c r="B59" s="171"/>
      <c r="C59" s="171"/>
      <c r="D59" s="195" t="s">
        <v>123</v>
      </c>
      <c r="E59" s="181">
        <v>48167</v>
      </c>
      <c r="F59" s="178">
        <v>8.8749999999999996E-2</v>
      </c>
      <c r="G59" s="178">
        <v>8.3125000000000004E-2</v>
      </c>
      <c r="H59" s="178">
        <v>8.4062499999999998E-2</v>
      </c>
      <c r="I59" s="178" t="s">
        <v>195</v>
      </c>
      <c r="J59" s="179"/>
      <c r="K59" s="168">
        <v>834000</v>
      </c>
      <c r="L59" s="168" t="s">
        <v>195</v>
      </c>
      <c r="M59" s="217" t="s">
        <v>195</v>
      </c>
    </row>
    <row r="60" spans="1:16" s="71" customFormat="1" ht="12.75" customHeight="1" outlineLevel="1" x14ac:dyDescent="0.2">
      <c r="A60" s="297" t="s">
        <v>124</v>
      </c>
      <c r="B60" s="298"/>
      <c r="C60" s="298"/>
      <c r="D60" s="298"/>
      <c r="E60" s="298"/>
      <c r="F60" s="298"/>
      <c r="G60" s="298"/>
      <c r="H60" s="298"/>
      <c r="I60" s="298"/>
      <c r="J60" s="299"/>
      <c r="K60" s="185">
        <f>SUM(K55:K59)</f>
        <v>10388000</v>
      </c>
      <c r="L60" s="185">
        <f>SUM(L55:L59)</f>
        <v>6015000</v>
      </c>
      <c r="M60" s="186"/>
    </row>
    <row r="61" spans="1:16" s="223" customFormat="1" ht="12.75" customHeight="1" x14ac:dyDescent="0.2">
      <c r="A61" s="300" t="s">
        <v>214</v>
      </c>
      <c r="B61" s="301"/>
      <c r="C61" s="301"/>
      <c r="D61" s="301"/>
      <c r="E61" s="301"/>
      <c r="F61" s="301"/>
      <c r="G61" s="301"/>
      <c r="H61" s="301"/>
      <c r="I61" s="301"/>
      <c r="J61" s="302"/>
      <c r="K61" s="258">
        <f>SUM(K42,K48,K54,K60)</f>
        <v>111009100</v>
      </c>
      <c r="L61" s="258">
        <f>SUM(L42,L48,L54,L60)</f>
        <v>54017600</v>
      </c>
      <c r="M61" s="255"/>
      <c r="O61" s="253"/>
      <c r="P61" s="251"/>
    </row>
    <row r="62" spans="1:16" s="71" customFormat="1" ht="12.75" customHeight="1" outlineLevel="1" x14ac:dyDescent="0.2">
      <c r="A62" s="300" t="s">
        <v>213</v>
      </c>
      <c r="B62" s="301"/>
      <c r="C62" s="301"/>
      <c r="D62" s="301"/>
      <c r="E62" s="301"/>
      <c r="F62" s="301"/>
      <c r="G62" s="301"/>
      <c r="H62" s="301"/>
      <c r="I62" s="301"/>
      <c r="J62" s="302"/>
      <c r="K62" s="175">
        <f>SUM(K36,K42,K48,K54,K60)</f>
        <v>411167100</v>
      </c>
      <c r="L62" s="175">
        <f>SUM(L36,L42,L48,L54,L60)</f>
        <v>149447957</v>
      </c>
      <c r="M62" s="225"/>
      <c r="N62" s="39"/>
    </row>
    <row r="63" spans="1:16" s="71" customFormat="1" ht="12.75" customHeight="1" outlineLevel="1" x14ac:dyDescent="0.2">
      <c r="A63" s="177">
        <v>42794</v>
      </c>
      <c r="B63" s="177">
        <v>42796</v>
      </c>
      <c r="C63" s="177" t="s">
        <v>127</v>
      </c>
      <c r="D63" s="176" t="s">
        <v>159</v>
      </c>
      <c r="E63" s="181">
        <v>42887</v>
      </c>
      <c r="F63" s="178" t="s">
        <v>138</v>
      </c>
      <c r="G63" s="178">
        <v>0.05</v>
      </c>
      <c r="H63" s="178">
        <v>5.2900000000000003E-2</v>
      </c>
      <c r="I63" s="179">
        <v>5.0689400000000003E-2</v>
      </c>
      <c r="J63" s="179">
        <v>5.0999999999999997E-2</v>
      </c>
      <c r="K63" s="183">
        <v>9315000</v>
      </c>
      <c r="L63" s="183">
        <v>5000000</v>
      </c>
      <c r="M63" s="180">
        <f t="shared" ref="M63:M68" si="0">K63/L63</f>
        <v>1.863</v>
      </c>
    </row>
    <row r="64" spans="1:16" s="71" customFormat="1" ht="12.75" customHeight="1" outlineLevel="1" x14ac:dyDescent="0.2">
      <c r="A64" s="172"/>
      <c r="B64" s="172"/>
      <c r="C64" s="172"/>
      <c r="D64" s="176" t="s">
        <v>160</v>
      </c>
      <c r="E64" s="181">
        <v>43160</v>
      </c>
      <c r="F64" s="178" t="s">
        <v>138</v>
      </c>
      <c r="G64" s="178">
        <v>5.9400000000000001E-2</v>
      </c>
      <c r="H64" s="178">
        <v>6.2399999999999997E-2</v>
      </c>
      <c r="I64" s="179">
        <v>5.9934099999999997E-2</v>
      </c>
      <c r="J64" s="179">
        <v>6.08E-2</v>
      </c>
      <c r="K64" s="183">
        <v>6245000</v>
      </c>
      <c r="L64" s="183">
        <v>4050000</v>
      </c>
      <c r="M64" s="180">
        <f t="shared" si="0"/>
        <v>1.5419753086419754</v>
      </c>
    </row>
    <row r="65" spans="1:13" s="71" customFormat="1" ht="12.75" customHeight="1" outlineLevel="1" x14ac:dyDescent="0.2">
      <c r="A65" s="171"/>
      <c r="B65" s="171"/>
      <c r="C65" s="171"/>
      <c r="D65" s="176" t="s">
        <v>35</v>
      </c>
      <c r="E65" s="181">
        <v>44696</v>
      </c>
      <c r="F65" s="178">
        <v>7.0000000000000007E-2</v>
      </c>
      <c r="G65" s="178">
        <v>7.2499999999999995E-2</v>
      </c>
      <c r="H65" s="178">
        <v>7.5200000000000003E-2</v>
      </c>
      <c r="I65" s="179">
        <v>7.2800000000000004E-2</v>
      </c>
      <c r="J65" s="179">
        <v>7.2800000000000004E-2</v>
      </c>
      <c r="K65" s="184">
        <v>7364600</v>
      </c>
      <c r="L65" s="184">
        <v>2350000</v>
      </c>
      <c r="M65" s="180">
        <f t="shared" si="0"/>
        <v>3.133872340425532</v>
      </c>
    </row>
    <row r="66" spans="1:13" s="71" customFormat="1" ht="12.75" customHeight="1" outlineLevel="1" x14ac:dyDescent="0.2">
      <c r="A66" s="171"/>
      <c r="B66" s="171"/>
      <c r="C66" s="171"/>
      <c r="D66" s="176" t="s">
        <v>43</v>
      </c>
      <c r="E66" s="181">
        <v>46522</v>
      </c>
      <c r="F66" s="178">
        <v>7.0000000000000007E-2</v>
      </c>
      <c r="G66" s="178">
        <v>7.4999999999999997E-2</v>
      </c>
      <c r="H66" s="178">
        <v>7.6499999999999999E-2</v>
      </c>
      <c r="I66" s="179">
        <v>7.5398199999999999E-2</v>
      </c>
      <c r="J66" s="179">
        <v>7.5499999999999998E-2</v>
      </c>
      <c r="K66" s="183">
        <v>6402800</v>
      </c>
      <c r="L66" s="184">
        <v>2150000</v>
      </c>
      <c r="M66" s="180">
        <f t="shared" si="0"/>
        <v>2.9780465116279071</v>
      </c>
    </row>
    <row r="67" spans="1:13" s="71" customFormat="1" ht="12.75" customHeight="1" outlineLevel="1" x14ac:dyDescent="0.2">
      <c r="A67" s="171"/>
      <c r="B67" s="171"/>
      <c r="C67" s="171"/>
      <c r="D67" s="176" t="s">
        <v>121</v>
      </c>
      <c r="E67" s="181">
        <v>49810</v>
      </c>
      <c r="F67" s="178">
        <v>8.2500000000000004E-2</v>
      </c>
      <c r="G67" s="178">
        <v>8.0699999999999994E-2</v>
      </c>
      <c r="H67" s="178">
        <v>8.2299999999999998E-2</v>
      </c>
      <c r="I67" s="179">
        <v>8.1193899999999999E-2</v>
      </c>
      <c r="J67" s="179">
        <v>8.1299999999999997E-2</v>
      </c>
      <c r="K67" s="183">
        <v>3615200</v>
      </c>
      <c r="L67" s="184">
        <v>1550000</v>
      </c>
      <c r="M67" s="180">
        <f t="shared" si="0"/>
        <v>2.3323870967741938</v>
      </c>
    </row>
    <row r="68" spans="1:13" s="71" customFormat="1" ht="12.75" customHeight="1" outlineLevel="1" x14ac:dyDescent="0.2">
      <c r="A68" s="172"/>
      <c r="B68" s="172"/>
      <c r="C68" s="172"/>
      <c r="D68" s="176" t="s">
        <v>161</v>
      </c>
      <c r="E68" s="181">
        <v>52642</v>
      </c>
      <c r="F68" s="178">
        <v>8.7499999999999994E-2</v>
      </c>
      <c r="G68" s="178">
        <v>8.4000000000000005E-2</v>
      </c>
      <c r="H68" s="178">
        <v>8.5000000000000006E-2</v>
      </c>
      <c r="I68" s="179">
        <v>8.4297700000000003E-2</v>
      </c>
      <c r="J68" s="179">
        <v>8.4400000000000003E-2</v>
      </c>
      <c r="K68" s="184">
        <v>2317000</v>
      </c>
      <c r="L68" s="184">
        <v>1250000</v>
      </c>
      <c r="M68" s="180">
        <f t="shared" si="0"/>
        <v>1.8535999999999999</v>
      </c>
    </row>
    <row r="69" spans="1:13" s="71" customFormat="1" ht="12.75" customHeight="1" outlineLevel="1" x14ac:dyDescent="0.2">
      <c r="A69" s="297" t="s">
        <v>124</v>
      </c>
      <c r="B69" s="298"/>
      <c r="C69" s="298"/>
      <c r="D69" s="298"/>
      <c r="E69" s="298"/>
      <c r="F69" s="298"/>
      <c r="G69" s="298"/>
      <c r="H69" s="298"/>
      <c r="I69" s="298"/>
      <c r="J69" s="299"/>
      <c r="K69" s="185">
        <f>SUM(K63:K68)</f>
        <v>35259600</v>
      </c>
      <c r="L69" s="185">
        <f>SUM(L63:L68)</f>
        <v>16350000</v>
      </c>
      <c r="M69" s="186"/>
    </row>
    <row r="70" spans="1:13" ht="12.75" customHeight="1" x14ac:dyDescent="0.2">
      <c r="A70" s="177">
        <v>42801</v>
      </c>
      <c r="B70" s="177">
        <v>42803</v>
      </c>
      <c r="C70" s="177" t="s">
        <v>127</v>
      </c>
      <c r="D70" s="176" t="s">
        <v>162</v>
      </c>
      <c r="E70" s="181">
        <v>42986</v>
      </c>
      <c r="F70" s="178" t="s">
        <v>138</v>
      </c>
      <c r="G70" s="178">
        <v>5.46875E-2</v>
      </c>
      <c r="H70" s="178">
        <v>6.25E-2</v>
      </c>
      <c r="I70" s="179">
        <v>5.5865600000000001E-2</v>
      </c>
      <c r="J70" s="179"/>
      <c r="K70" s="183">
        <v>5146000</v>
      </c>
      <c r="L70" s="183">
        <v>2000000</v>
      </c>
      <c r="M70" s="180">
        <f>K70/L70</f>
        <v>2.573</v>
      </c>
    </row>
    <row r="71" spans="1:13" ht="12.75" customHeight="1" x14ac:dyDescent="0.2">
      <c r="A71" s="177"/>
      <c r="B71" s="171"/>
      <c r="C71" s="171"/>
      <c r="D71" s="195" t="s">
        <v>150</v>
      </c>
      <c r="E71" s="181">
        <v>43600</v>
      </c>
      <c r="F71" s="178">
        <v>6.25E-2</v>
      </c>
      <c r="G71" s="178">
        <v>7.03125E-2</v>
      </c>
      <c r="H71" s="178">
        <v>7.4999999999999997E-2</v>
      </c>
      <c r="I71" s="179">
        <v>7.1498800000000001E-2</v>
      </c>
      <c r="J71" s="179"/>
      <c r="K71" s="196">
        <v>3751000</v>
      </c>
      <c r="L71" s="196">
        <v>1690000</v>
      </c>
      <c r="M71" s="180">
        <f>K71/L71</f>
        <v>2.2195266272189351</v>
      </c>
    </row>
    <row r="72" spans="1:13" ht="12.75" customHeight="1" x14ac:dyDescent="0.2">
      <c r="A72" s="172"/>
      <c r="B72" s="171"/>
      <c r="C72" s="171"/>
      <c r="D72" s="195" t="s">
        <v>151</v>
      </c>
      <c r="E72" s="181">
        <v>44331</v>
      </c>
      <c r="F72" s="178">
        <v>6.5000000000000002E-2</v>
      </c>
      <c r="G72" s="178">
        <v>7.3124999999999996E-2</v>
      </c>
      <c r="H72" s="178">
        <v>7.5937500000000005E-2</v>
      </c>
      <c r="I72" s="179">
        <v>7.4368100000000006E-2</v>
      </c>
      <c r="J72" s="179"/>
      <c r="K72" s="196">
        <v>1000000</v>
      </c>
      <c r="L72" s="196">
        <v>930000</v>
      </c>
      <c r="M72" s="180">
        <f>K72/L72</f>
        <v>1.075268817204301</v>
      </c>
    </row>
    <row r="73" spans="1:13" ht="12.75" customHeight="1" x14ac:dyDescent="0.2">
      <c r="A73" s="172"/>
      <c r="B73" s="172"/>
      <c r="C73" s="172"/>
      <c r="D73" s="195" t="s">
        <v>122</v>
      </c>
      <c r="E73" s="181">
        <v>45153</v>
      </c>
      <c r="F73" s="178">
        <v>8.7499999999999994E-2</v>
      </c>
      <c r="G73" s="178">
        <v>7.7187500000000006E-2</v>
      </c>
      <c r="H73" s="178">
        <v>0.08</v>
      </c>
      <c r="I73" s="179">
        <v>7.7865599999999993E-2</v>
      </c>
      <c r="J73" s="179"/>
      <c r="K73" s="196">
        <v>1198000</v>
      </c>
      <c r="L73" s="196">
        <v>1070000</v>
      </c>
      <c r="M73" s="180">
        <f>K73/L73</f>
        <v>1.1196261682242992</v>
      </c>
    </row>
    <row r="74" spans="1:13" ht="12.75" customHeight="1" x14ac:dyDescent="0.2">
      <c r="A74" s="171"/>
      <c r="B74" s="171"/>
      <c r="C74" s="171"/>
      <c r="D74" s="195" t="s">
        <v>123</v>
      </c>
      <c r="E74" s="181">
        <v>48167</v>
      </c>
      <c r="F74" s="178">
        <v>8.8749999999999996E-2</v>
      </c>
      <c r="G74" s="178">
        <v>8.1562499999999996E-2</v>
      </c>
      <c r="H74" s="178">
        <v>8.3750000000000005E-2</v>
      </c>
      <c r="I74" s="178">
        <v>8.2895099999999999E-2</v>
      </c>
      <c r="J74" s="179"/>
      <c r="K74" s="168">
        <v>1253000</v>
      </c>
      <c r="L74" s="168">
        <v>410000</v>
      </c>
      <c r="M74" s="180">
        <f>K74/L74</f>
        <v>3.0560975609756098</v>
      </c>
    </row>
    <row r="75" spans="1:13" ht="12.75" customHeight="1" x14ac:dyDescent="0.2">
      <c r="A75" s="297" t="s">
        <v>124</v>
      </c>
      <c r="B75" s="298"/>
      <c r="C75" s="298"/>
      <c r="D75" s="298"/>
      <c r="E75" s="298"/>
      <c r="F75" s="298"/>
      <c r="G75" s="298"/>
      <c r="H75" s="298"/>
      <c r="I75" s="298"/>
      <c r="J75" s="299"/>
      <c r="K75" s="185">
        <f>SUM(K70:K74)</f>
        <v>12348000</v>
      </c>
      <c r="L75" s="185">
        <f>SUM(L70:L74)</f>
        <v>6100000</v>
      </c>
      <c r="M75" s="186"/>
    </row>
    <row r="76" spans="1:13" s="71" customFormat="1" ht="12.75" customHeight="1" outlineLevel="1" x14ac:dyDescent="0.2">
      <c r="A76" s="177">
        <v>42808</v>
      </c>
      <c r="B76" s="177">
        <v>42810</v>
      </c>
      <c r="C76" s="177" t="s">
        <v>127</v>
      </c>
      <c r="D76" s="176" t="s">
        <v>163</v>
      </c>
      <c r="E76" s="181">
        <v>42901</v>
      </c>
      <c r="F76" s="178" t="s">
        <v>138</v>
      </c>
      <c r="G76" s="178">
        <v>5.0700000000000002E-2</v>
      </c>
      <c r="H76" s="178">
        <v>5.5E-2</v>
      </c>
      <c r="I76" s="179">
        <v>5.1094399999999998E-2</v>
      </c>
      <c r="J76" s="179">
        <v>5.1499999999999997E-2</v>
      </c>
      <c r="K76" s="183">
        <v>4660000</v>
      </c>
      <c r="L76" s="183">
        <v>2700000</v>
      </c>
      <c r="M76" s="180">
        <f t="shared" ref="M76:M80" si="1">K76/L76</f>
        <v>1.7259259259259259</v>
      </c>
    </row>
    <row r="77" spans="1:13" s="71" customFormat="1" ht="12.75" customHeight="1" outlineLevel="1" x14ac:dyDescent="0.2">
      <c r="A77" s="172"/>
      <c r="B77" s="172"/>
      <c r="C77" s="172"/>
      <c r="D77" s="176" t="s">
        <v>160</v>
      </c>
      <c r="E77" s="181">
        <v>43160</v>
      </c>
      <c r="F77" s="178" t="s">
        <v>138</v>
      </c>
      <c r="G77" s="178">
        <v>5.8999999999999997E-2</v>
      </c>
      <c r="H77" s="178">
        <v>6.25E-2</v>
      </c>
      <c r="I77" s="179">
        <v>6.0600000000000001E-2</v>
      </c>
      <c r="J77" s="179">
        <v>6.1499999999999999E-2</v>
      </c>
      <c r="K77" s="183">
        <v>4282600</v>
      </c>
      <c r="L77" s="183">
        <v>3000000</v>
      </c>
      <c r="M77" s="180">
        <f t="shared" si="1"/>
        <v>1.4275333333333333</v>
      </c>
    </row>
    <row r="78" spans="1:13" s="71" customFormat="1" ht="12.75" customHeight="1" outlineLevel="1" x14ac:dyDescent="0.2">
      <c r="A78" s="171"/>
      <c r="B78" s="171"/>
      <c r="C78" s="171"/>
      <c r="D78" s="176" t="s">
        <v>35</v>
      </c>
      <c r="E78" s="181">
        <v>44696</v>
      </c>
      <c r="F78" s="178">
        <v>7.0000000000000007E-2</v>
      </c>
      <c r="G78" s="178">
        <v>7.1900000000000006E-2</v>
      </c>
      <c r="H78" s="178">
        <v>7.4499999999999997E-2</v>
      </c>
      <c r="I78" s="179">
        <v>7.2292700000000001E-2</v>
      </c>
      <c r="J78" s="179">
        <v>7.2499999999999995E-2</v>
      </c>
      <c r="K78" s="184">
        <v>9717000</v>
      </c>
      <c r="L78" s="184">
        <v>2250000</v>
      </c>
      <c r="M78" s="180">
        <f t="shared" si="1"/>
        <v>4.3186666666666671</v>
      </c>
    </row>
    <row r="79" spans="1:13" s="71" customFormat="1" ht="12.75" customHeight="1" outlineLevel="1" x14ac:dyDescent="0.2">
      <c r="A79" s="171"/>
      <c r="B79" s="171"/>
      <c r="C79" s="171"/>
      <c r="D79" s="176" t="s">
        <v>140</v>
      </c>
      <c r="E79" s="181">
        <v>48441</v>
      </c>
      <c r="F79" s="178">
        <v>7.4999999999999997E-2</v>
      </c>
      <c r="G79" s="178">
        <v>7.7499999999999999E-2</v>
      </c>
      <c r="H79" s="178">
        <v>7.9000000000000001E-2</v>
      </c>
      <c r="I79" s="179">
        <v>7.78977E-2</v>
      </c>
      <c r="J79" s="179">
        <v>7.8E-2</v>
      </c>
      <c r="K79" s="183">
        <v>3120900</v>
      </c>
      <c r="L79" s="184">
        <v>1400000</v>
      </c>
      <c r="M79" s="180">
        <f t="shared" si="1"/>
        <v>2.2292142857142858</v>
      </c>
    </row>
    <row r="80" spans="1:13" s="71" customFormat="1" ht="12.75" customHeight="1" outlineLevel="1" x14ac:dyDescent="0.2">
      <c r="A80" s="171"/>
      <c r="B80" s="171"/>
      <c r="C80" s="171"/>
      <c r="D80" s="176" t="s">
        <v>121</v>
      </c>
      <c r="E80" s="181">
        <v>49810</v>
      </c>
      <c r="F80" s="178">
        <v>8.2500000000000004E-2</v>
      </c>
      <c r="G80" s="178">
        <v>7.9699999999999993E-2</v>
      </c>
      <c r="H80" s="178">
        <v>8.1500000000000003E-2</v>
      </c>
      <c r="I80" s="179">
        <v>8.0199000000000006E-2</v>
      </c>
      <c r="J80" s="179">
        <v>8.0600000000000005E-2</v>
      </c>
      <c r="K80" s="183">
        <v>4663700</v>
      </c>
      <c r="L80" s="184">
        <v>2000000</v>
      </c>
      <c r="M80" s="180">
        <f t="shared" si="1"/>
        <v>2.3318500000000002</v>
      </c>
    </row>
    <row r="81" spans="1:17" s="71" customFormat="1" ht="12.75" customHeight="1" outlineLevel="1" x14ac:dyDescent="0.2">
      <c r="A81" s="297" t="s">
        <v>124</v>
      </c>
      <c r="B81" s="298"/>
      <c r="C81" s="298"/>
      <c r="D81" s="298"/>
      <c r="E81" s="298"/>
      <c r="F81" s="298"/>
      <c r="G81" s="298"/>
      <c r="H81" s="298"/>
      <c r="I81" s="298"/>
      <c r="J81" s="299"/>
      <c r="K81" s="200">
        <f>SUM(K76:K80)</f>
        <v>26444200</v>
      </c>
      <c r="L81" s="200">
        <f>SUM(L76:L80)</f>
        <v>11350000</v>
      </c>
      <c r="M81" s="201"/>
    </row>
    <row r="82" spans="1:17" s="212" customFormat="1" ht="12.75" customHeight="1" outlineLevel="1" x14ac:dyDescent="0.2">
      <c r="A82" s="215">
        <v>42807</v>
      </c>
      <c r="B82" s="215">
        <v>42815</v>
      </c>
      <c r="C82" s="222" t="s">
        <v>165</v>
      </c>
      <c r="D82" s="214" t="s">
        <v>166</v>
      </c>
      <c r="E82" s="219">
        <v>43911</v>
      </c>
      <c r="F82" s="216">
        <v>7.1400000000000005E-2</v>
      </c>
      <c r="G82" s="216"/>
      <c r="H82" s="216"/>
      <c r="I82" s="217"/>
      <c r="J82" s="217"/>
      <c r="K82" s="220">
        <v>2000000</v>
      </c>
      <c r="L82" s="220">
        <v>2000000</v>
      </c>
      <c r="M82" s="218">
        <v>1</v>
      </c>
    </row>
    <row r="83" spans="1:17" s="212" customFormat="1" ht="12.75" customHeight="1" outlineLevel="1" x14ac:dyDescent="0.2">
      <c r="A83" s="297" t="s">
        <v>124</v>
      </c>
      <c r="B83" s="298"/>
      <c r="C83" s="298"/>
      <c r="D83" s="298"/>
      <c r="E83" s="298"/>
      <c r="F83" s="298"/>
      <c r="G83" s="298"/>
      <c r="H83" s="298"/>
      <c r="I83" s="298"/>
      <c r="J83" s="299"/>
      <c r="K83" s="220">
        <v>2000000</v>
      </c>
      <c r="L83" s="220">
        <v>2000000</v>
      </c>
      <c r="M83" s="221"/>
    </row>
    <row r="84" spans="1:17" s="213" customFormat="1" ht="12.75" customHeight="1" outlineLevel="1" x14ac:dyDescent="0.2">
      <c r="A84" s="229">
        <v>42792</v>
      </c>
      <c r="B84" s="229">
        <v>42816</v>
      </c>
      <c r="C84" s="230" t="s">
        <v>126</v>
      </c>
      <c r="D84" s="231" t="s">
        <v>167</v>
      </c>
      <c r="E84" s="232">
        <v>43900</v>
      </c>
      <c r="F84" s="233">
        <v>6.9000000000000006E-2</v>
      </c>
      <c r="G84" s="233"/>
      <c r="H84" s="233"/>
      <c r="I84" s="233"/>
      <c r="J84" s="233"/>
      <c r="K84" s="234">
        <v>14060685</v>
      </c>
      <c r="L84" s="234">
        <v>14037310</v>
      </c>
      <c r="M84" s="227">
        <f>K84/L84</f>
        <v>1.0016652050855899</v>
      </c>
    </row>
    <row r="85" spans="1:17" s="213" customFormat="1" ht="12.75" customHeight="1" outlineLevel="1" x14ac:dyDescent="0.2">
      <c r="A85" s="297" t="s">
        <v>124</v>
      </c>
      <c r="B85" s="298"/>
      <c r="C85" s="298"/>
      <c r="D85" s="298"/>
      <c r="E85" s="298"/>
      <c r="F85" s="298"/>
      <c r="G85" s="298"/>
      <c r="H85" s="298"/>
      <c r="I85" s="298"/>
      <c r="J85" s="299"/>
      <c r="K85" s="234">
        <v>14060685</v>
      </c>
      <c r="L85" s="234">
        <v>14037310</v>
      </c>
      <c r="M85" s="228"/>
    </row>
    <row r="86" spans="1:17" ht="12.75" customHeight="1" x14ac:dyDescent="0.2">
      <c r="A86" s="204">
        <v>42815</v>
      </c>
      <c r="B86" s="204">
        <v>42817</v>
      </c>
      <c r="C86" s="204" t="s">
        <v>127</v>
      </c>
      <c r="D86" s="203" t="s">
        <v>162</v>
      </c>
      <c r="E86" s="208">
        <v>42986</v>
      </c>
      <c r="F86" s="205" t="s">
        <v>138</v>
      </c>
      <c r="G86" s="205">
        <v>5.2812499999999998E-2</v>
      </c>
      <c r="H86" s="205">
        <v>5.8437500000000003E-2</v>
      </c>
      <c r="I86" s="206">
        <v>5.4304699999999997E-2</v>
      </c>
      <c r="J86" s="206"/>
      <c r="K86" s="209">
        <v>7190000</v>
      </c>
      <c r="L86" s="209">
        <v>2000000</v>
      </c>
      <c r="M86" s="207">
        <f>K86/L86</f>
        <v>3.5950000000000002</v>
      </c>
    </row>
    <row r="87" spans="1:17" ht="12.75" customHeight="1" x14ac:dyDescent="0.2">
      <c r="A87" s="204"/>
      <c r="B87" s="202"/>
      <c r="C87" s="202"/>
      <c r="D87" s="210" t="s">
        <v>150</v>
      </c>
      <c r="E87" s="208">
        <v>43600</v>
      </c>
      <c r="F87" s="205">
        <v>6.25E-2</v>
      </c>
      <c r="G87" s="205">
        <v>6.6875000000000004E-2</v>
      </c>
      <c r="H87" s="205">
        <v>7.2499999999999995E-2</v>
      </c>
      <c r="I87" s="206">
        <v>6.99795E-2</v>
      </c>
      <c r="J87" s="206"/>
      <c r="K87" s="211">
        <v>4779000</v>
      </c>
      <c r="L87" s="211">
        <v>2700000</v>
      </c>
      <c r="M87" s="207">
        <f>K87/L87</f>
        <v>1.77</v>
      </c>
    </row>
    <row r="88" spans="1:17" ht="12.75" customHeight="1" x14ac:dyDescent="0.2">
      <c r="A88" s="172"/>
      <c r="B88" s="171"/>
      <c r="C88" s="171"/>
      <c r="D88" s="195" t="s">
        <v>151</v>
      </c>
      <c r="E88" s="181">
        <v>44331</v>
      </c>
      <c r="F88" s="178">
        <v>6.5000000000000002E-2</v>
      </c>
      <c r="G88" s="178">
        <v>6.8750000000000006E-2</v>
      </c>
      <c r="H88" s="178">
        <v>7.4999999999999997E-2</v>
      </c>
      <c r="I88" s="179">
        <v>7.1560499999999999E-2</v>
      </c>
      <c r="J88" s="179"/>
      <c r="K88" s="196">
        <v>1761500</v>
      </c>
      <c r="L88" s="196">
        <v>1560000</v>
      </c>
      <c r="M88" s="180">
        <f>K88/L88</f>
        <v>1.1291666666666667</v>
      </c>
    </row>
    <row r="89" spans="1:17" ht="12.75" customHeight="1" x14ac:dyDescent="0.2">
      <c r="A89" s="172"/>
      <c r="B89" s="172"/>
      <c r="C89" s="172"/>
      <c r="D89" s="195" t="s">
        <v>122</v>
      </c>
      <c r="E89" s="181">
        <v>45153</v>
      </c>
      <c r="F89" s="178">
        <v>8.7499999999999994E-2</v>
      </c>
      <c r="G89" s="178">
        <v>7.4062500000000003E-2</v>
      </c>
      <c r="H89" s="178">
        <v>7.8750000000000001E-2</v>
      </c>
      <c r="I89" s="179">
        <v>7.5398000000000007E-2</v>
      </c>
      <c r="J89" s="179"/>
      <c r="K89" s="196">
        <v>2494500</v>
      </c>
      <c r="L89" s="196">
        <v>650000</v>
      </c>
      <c r="M89" s="180">
        <f>K89/L89</f>
        <v>3.8376923076923077</v>
      </c>
    </row>
    <row r="90" spans="1:17" ht="12.75" customHeight="1" x14ac:dyDescent="0.2">
      <c r="A90" s="171"/>
      <c r="B90" s="171"/>
      <c r="C90" s="171"/>
      <c r="D90" s="195" t="s">
        <v>123</v>
      </c>
      <c r="E90" s="181">
        <v>48167</v>
      </c>
      <c r="F90" s="178">
        <v>8.8749999999999996E-2</v>
      </c>
      <c r="G90" s="178">
        <v>7.9687499999999994E-2</v>
      </c>
      <c r="H90" s="178">
        <v>8.4062499999999998E-2</v>
      </c>
      <c r="I90" s="178">
        <v>8.0393900000000004E-2</v>
      </c>
      <c r="J90" s="179"/>
      <c r="K90" s="168">
        <v>1898000</v>
      </c>
      <c r="L90" s="168">
        <v>960000</v>
      </c>
      <c r="M90" s="180">
        <f>K90/L90</f>
        <v>1.9770833333333333</v>
      </c>
    </row>
    <row r="91" spans="1:17" ht="12.75" customHeight="1" x14ac:dyDescent="0.2">
      <c r="A91" s="297" t="s">
        <v>124</v>
      </c>
      <c r="B91" s="298"/>
      <c r="C91" s="298"/>
      <c r="D91" s="298"/>
      <c r="E91" s="298"/>
      <c r="F91" s="298"/>
      <c r="G91" s="298"/>
      <c r="H91" s="298"/>
      <c r="I91" s="298"/>
      <c r="J91" s="299"/>
      <c r="K91" s="185">
        <f>SUM(K86:K90)</f>
        <v>18123000</v>
      </c>
      <c r="L91" s="185">
        <f>SUM(L86:L90)</f>
        <v>7870000</v>
      </c>
      <c r="M91" s="186"/>
    </row>
    <row r="92" spans="1:17" s="224" customFormat="1" ht="12.75" customHeight="1" outlineLevel="1" x14ac:dyDescent="0.2">
      <c r="A92" s="238">
        <v>42816</v>
      </c>
      <c r="B92" s="238">
        <v>42823</v>
      </c>
      <c r="C92" s="250" t="s">
        <v>126</v>
      </c>
      <c r="D92" s="237" t="s">
        <v>168</v>
      </c>
      <c r="E92" s="238">
        <v>44649</v>
      </c>
      <c r="F92" s="239">
        <v>3.4000000000000002E-2</v>
      </c>
      <c r="G92" s="246"/>
      <c r="H92" s="246"/>
      <c r="I92" s="239">
        <v>3.4000000000000002E-2</v>
      </c>
      <c r="J92" s="247"/>
      <c r="K92" s="168" t="s">
        <v>171</v>
      </c>
      <c r="L92" s="168" t="s">
        <v>172</v>
      </c>
      <c r="M92" s="241">
        <v>4.8665149999999997</v>
      </c>
      <c r="N92" s="235"/>
      <c r="O92" s="235"/>
      <c r="P92" s="235"/>
      <c r="Q92" s="235"/>
    </row>
    <row r="93" spans="1:17" s="224" customFormat="1" ht="12.75" customHeight="1" outlineLevel="1" x14ac:dyDescent="0.2">
      <c r="A93" s="248"/>
      <c r="B93" s="248"/>
      <c r="C93" s="248"/>
      <c r="D93" s="237"/>
      <c r="E93" s="238"/>
      <c r="F93" s="239"/>
      <c r="G93" s="246"/>
      <c r="H93" s="246"/>
      <c r="I93" s="239"/>
      <c r="J93" s="249"/>
      <c r="K93" s="168">
        <f>4866.515*13323</f>
        <v>64836579.345000006</v>
      </c>
      <c r="L93" s="168">
        <f>1000*13323</f>
        <v>13323000</v>
      </c>
      <c r="M93" s="241"/>
      <c r="N93" s="235"/>
      <c r="O93" s="235"/>
      <c r="P93" s="235"/>
      <c r="Q93" s="235"/>
    </row>
    <row r="94" spans="1:17" s="224" customFormat="1" ht="12.75" customHeight="1" outlineLevel="1" x14ac:dyDescent="0.2">
      <c r="A94" s="236"/>
      <c r="B94" s="236"/>
      <c r="C94" s="236"/>
      <c r="D94" s="237" t="s">
        <v>169</v>
      </c>
      <c r="E94" s="238">
        <v>46475</v>
      </c>
      <c r="F94" s="239">
        <v>4.1500000000000002E-2</v>
      </c>
      <c r="G94" s="239"/>
      <c r="H94" s="239"/>
      <c r="I94" s="239">
        <v>4.1500000000000002E-2</v>
      </c>
      <c r="J94" s="240"/>
      <c r="K94" s="168" t="s">
        <v>170</v>
      </c>
      <c r="L94" s="168" t="s">
        <v>173</v>
      </c>
      <c r="M94" s="241">
        <v>2.9873025000000002</v>
      </c>
      <c r="N94" s="235"/>
      <c r="O94" s="235"/>
      <c r="P94" s="235"/>
      <c r="Q94" s="235"/>
    </row>
    <row r="95" spans="1:17" s="224" customFormat="1" ht="12.75" customHeight="1" outlineLevel="1" x14ac:dyDescent="0.2">
      <c r="A95" s="236"/>
      <c r="B95" s="236"/>
      <c r="C95" s="236"/>
      <c r="D95" s="237"/>
      <c r="E95" s="242"/>
      <c r="F95" s="239"/>
      <c r="G95" s="239"/>
      <c r="H95" s="239"/>
      <c r="I95" s="240"/>
      <c r="J95" s="240"/>
      <c r="K95" s="209">
        <f>5974.605*13323</f>
        <v>79599662.414999992</v>
      </c>
      <c r="L95" s="168">
        <f>2000*13323</f>
        <v>26646000</v>
      </c>
      <c r="M95" s="241"/>
      <c r="N95" s="235"/>
      <c r="O95" s="235"/>
      <c r="P95" s="235"/>
      <c r="Q95" s="245"/>
    </row>
    <row r="96" spans="1:17" s="224" customFormat="1" ht="12.75" customHeight="1" outlineLevel="1" x14ac:dyDescent="0.2">
      <c r="A96" s="303" t="s">
        <v>124</v>
      </c>
      <c r="B96" s="304"/>
      <c r="C96" s="304"/>
      <c r="D96" s="304"/>
      <c r="E96" s="304"/>
      <c r="F96" s="304"/>
      <c r="G96" s="304"/>
      <c r="H96" s="304"/>
      <c r="I96" s="304"/>
      <c r="J96" s="305"/>
      <c r="K96" s="243">
        <f>K93+K95</f>
        <v>144436241.75999999</v>
      </c>
      <c r="L96" s="243">
        <f>L93+L95</f>
        <v>39969000</v>
      </c>
      <c r="M96" s="244"/>
      <c r="N96" s="235"/>
      <c r="O96" s="235"/>
      <c r="P96" s="235"/>
      <c r="Q96" s="245"/>
    </row>
    <row r="97" spans="1:17" s="71" customFormat="1" ht="12.75" customHeight="1" outlineLevel="1" x14ac:dyDescent="0.2">
      <c r="A97" s="177">
        <v>42821</v>
      </c>
      <c r="B97" s="177">
        <v>42824</v>
      </c>
      <c r="C97" s="177" t="s">
        <v>127</v>
      </c>
      <c r="D97" s="176" t="s">
        <v>164</v>
      </c>
      <c r="E97" s="181">
        <v>42915</v>
      </c>
      <c r="F97" s="178" t="s">
        <v>138</v>
      </c>
      <c r="G97" s="178">
        <v>4.8500000000000001E-2</v>
      </c>
      <c r="H97" s="178">
        <v>5.2999999999999999E-2</v>
      </c>
      <c r="I97" s="179">
        <v>4.9966400000000001E-2</v>
      </c>
      <c r="J97" s="179">
        <v>5.0900000000000001E-2</v>
      </c>
      <c r="K97" s="183">
        <v>8983000</v>
      </c>
      <c r="L97" s="183">
        <v>5450000</v>
      </c>
      <c r="M97" s="180">
        <f t="shared" ref="M97:M101" si="2">K97/L97</f>
        <v>1.6482568807339451</v>
      </c>
    </row>
    <row r="98" spans="1:17" s="71" customFormat="1" ht="12.75" customHeight="1" outlineLevel="1" x14ac:dyDescent="0.2">
      <c r="A98" s="172"/>
      <c r="B98" s="172"/>
      <c r="C98" s="172"/>
      <c r="D98" s="176" t="s">
        <v>160</v>
      </c>
      <c r="E98" s="181">
        <v>43160</v>
      </c>
      <c r="F98" s="178" t="s">
        <v>138</v>
      </c>
      <c r="G98" s="178">
        <v>6.0199999999999997E-2</v>
      </c>
      <c r="H98" s="178">
        <v>6.2399999999999997E-2</v>
      </c>
      <c r="I98" s="179">
        <v>6.0499999999999998E-2</v>
      </c>
      <c r="J98" s="179">
        <v>6.0900000000000003E-2</v>
      </c>
      <c r="K98" s="183">
        <v>4935000</v>
      </c>
      <c r="L98" s="183">
        <v>1800000</v>
      </c>
      <c r="M98" s="180">
        <f t="shared" si="2"/>
        <v>2.7416666666666667</v>
      </c>
      <c r="N98" s="224"/>
      <c r="O98" s="224"/>
      <c r="P98" s="224"/>
      <c r="Q98" s="224"/>
    </row>
    <row r="99" spans="1:17" s="71" customFormat="1" ht="12.75" customHeight="1" outlineLevel="1" x14ac:dyDescent="0.2">
      <c r="A99" s="171"/>
      <c r="B99" s="171"/>
      <c r="C99" s="171"/>
      <c r="D99" s="176" t="s">
        <v>43</v>
      </c>
      <c r="E99" s="181">
        <v>46522</v>
      </c>
      <c r="F99" s="178">
        <v>7.0000000000000007E-2</v>
      </c>
      <c r="G99" s="178">
        <v>7.0599999999999996E-2</v>
      </c>
      <c r="H99" s="178">
        <v>7.3499999999999996E-2</v>
      </c>
      <c r="I99" s="179">
        <v>7.0860400000000004E-2</v>
      </c>
      <c r="J99" s="179">
        <v>7.0999999999999994E-2</v>
      </c>
      <c r="K99" s="184">
        <v>8596600</v>
      </c>
      <c r="L99" s="184">
        <v>3500000</v>
      </c>
      <c r="M99" s="180">
        <f t="shared" si="2"/>
        <v>2.4561714285714285</v>
      </c>
      <c r="N99" s="224"/>
      <c r="O99" s="224"/>
      <c r="P99" s="224"/>
      <c r="Q99" s="224"/>
    </row>
    <row r="100" spans="1:17" s="71" customFormat="1" ht="12.75" customHeight="1" outlineLevel="1" x14ac:dyDescent="0.2">
      <c r="A100" s="171"/>
      <c r="B100" s="171"/>
      <c r="C100" s="171"/>
      <c r="D100" s="176" t="s">
        <v>140</v>
      </c>
      <c r="E100" s="181">
        <v>48441</v>
      </c>
      <c r="F100" s="178">
        <v>7.4999999999999997E-2</v>
      </c>
      <c r="G100" s="178">
        <v>7.46E-2</v>
      </c>
      <c r="H100" s="178">
        <v>7.6200000000000004E-2</v>
      </c>
      <c r="I100" s="179">
        <v>7.5095899999999993E-2</v>
      </c>
      <c r="J100" s="179">
        <v>7.5399999999999995E-2</v>
      </c>
      <c r="K100" s="183">
        <v>5691200</v>
      </c>
      <c r="L100" s="184">
        <v>3250000</v>
      </c>
      <c r="M100" s="180">
        <f t="shared" si="2"/>
        <v>1.7511384615384615</v>
      </c>
      <c r="N100" s="224"/>
      <c r="O100" s="224"/>
      <c r="P100" s="224"/>
      <c r="Q100" s="224"/>
    </row>
    <row r="101" spans="1:17" s="71" customFormat="1" ht="12.75" customHeight="1" outlineLevel="1" x14ac:dyDescent="0.2">
      <c r="A101" s="171"/>
      <c r="B101" s="171"/>
      <c r="C101" s="171"/>
      <c r="D101" s="176" t="s">
        <v>121</v>
      </c>
      <c r="E101" s="181">
        <v>49810</v>
      </c>
      <c r="F101" s="178">
        <v>8.2500000000000004E-2</v>
      </c>
      <c r="G101" s="178">
        <v>7.6999999999999999E-2</v>
      </c>
      <c r="H101" s="178">
        <v>0.08</v>
      </c>
      <c r="I101" s="179">
        <v>7.7598899999999998E-2</v>
      </c>
      <c r="J101" s="179">
        <v>7.7899999999999997E-2</v>
      </c>
      <c r="K101" s="183">
        <v>5743600</v>
      </c>
      <c r="L101" s="184">
        <v>4650000</v>
      </c>
      <c r="M101" s="180">
        <f t="shared" si="2"/>
        <v>1.2351827956989248</v>
      </c>
      <c r="N101" s="224"/>
      <c r="O101" s="224"/>
      <c r="P101" s="224"/>
      <c r="Q101" s="224"/>
    </row>
    <row r="102" spans="1:17" s="71" customFormat="1" ht="12.75" customHeight="1" outlineLevel="1" x14ac:dyDescent="0.2">
      <c r="A102" s="297" t="s">
        <v>124</v>
      </c>
      <c r="B102" s="298"/>
      <c r="C102" s="298"/>
      <c r="D102" s="298"/>
      <c r="E102" s="298"/>
      <c r="F102" s="298"/>
      <c r="G102" s="298"/>
      <c r="H102" s="298"/>
      <c r="I102" s="298"/>
      <c r="J102" s="299"/>
      <c r="K102" s="185">
        <f>SUM(K97:K101)</f>
        <v>33949400</v>
      </c>
      <c r="L102" s="185">
        <f>SUM(L97:L101)</f>
        <v>18650000</v>
      </c>
      <c r="M102" s="186"/>
      <c r="N102" s="224"/>
      <c r="O102" s="224"/>
      <c r="P102" s="224"/>
      <c r="Q102" s="224"/>
    </row>
    <row r="103" spans="1:17" s="223" customFormat="1" ht="12.75" customHeight="1" x14ac:dyDescent="0.2">
      <c r="A103" s="300" t="s">
        <v>212</v>
      </c>
      <c r="B103" s="301"/>
      <c r="C103" s="301"/>
      <c r="D103" s="301"/>
      <c r="E103" s="301"/>
      <c r="F103" s="301"/>
      <c r="G103" s="301"/>
      <c r="H103" s="301"/>
      <c r="I103" s="301"/>
      <c r="J103" s="302"/>
      <c r="K103" s="258">
        <f>SUM(K69,K75,K81,K83,K85,K91,K96,K102)</f>
        <v>286621126.75999999</v>
      </c>
      <c r="L103" s="258">
        <f>SUM(L69,L75,L81,L83,L85,L91,L96,L102)</f>
        <v>116326310</v>
      </c>
      <c r="M103" s="255"/>
      <c r="O103" s="253"/>
      <c r="P103" s="251"/>
    </row>
    <row r="104" spans="1:17" ht="12.75" customHeight="1" x14ac:dyDescent="0.2">
      <c r="A104" s="300" t="s">
        <v>211</v>
      </c>
      <c r="B104" s="301"/>
      <c r="C104" s="301"/>
      <c r="D104" s="301"/>
      <c r="E104" s="301"/>
      <c r="F104" s="301"/>
      <c r="G104" s="301"/>
      <c r="H104" s="301"/>
      <c r="I104" s="301"/>
      <c r="J104" s="302"/>
      <c r="K104" s="226">
        <f>SUM(K62,K69,K75,K81,K83,K85,K91,K102,K96)</f>
        <v>697788226.75999999</v>
      </c>
      <c r="L104" s="226">
        <f>SUM(L62,L75,L69,L81,L83,L85,L91,L102,L96)</f>
        <v>265774267</v>
      </c>
      <c r="M104" s="225"/>
      <c r="N104" s="223"/>
      <c r="O104" s="29"/>
      <c r="P104" s="251"/>
      <c r="Q104" s="223"/>
    </row>
    <row r="105" spans="1:17" ht="12.75" customHeight="1" x14ac:dyDescent="0.2">
      <c r="A105" s="260">
        <v>42829</v>
      </c>
      <c r="B105" s="260">
        <v>42831</v>
      </c>
      <c r="C105" s="260" t="s">
        <v>127</v>
      </c>
      <c r="D105" s="259" t="s">
        <v>174</v>
      </c>
      <c r="E105" s="264">
        <v>43013</v>
      </c>
      <c r="F105" s="261" t="s">
        <v>138</v>
      </c>
      <c r="G105" s="261">
        <v>5.4375E-2</v>
      </c>
      <c r="H105" s="261">
        <v>5.9687499999999998E-2</v>
      </c>
      <c r="I105" s="262">
        <v>5.5001300000000003E-2</v>
      </c>
      <c r="J105" s="262"/>
      <c r="K105" s="265">
        <v>5143000</v>
      </c>
      <c r="L105" s="265">
        <v>2000000</v>
      </c>
      <c r="M105" s="263">
        <v>2.5714999999999999</v>
      </c>
      <c r="N105" s="270"/>
      <c r="O105" s="270"/>
      <c r="P105" s="270"/>
      <c r="Q105" s="271"/>
    </row>
    <row r="106" spans="1:17" ht="12.75" customHeight="1" x14ac:dyDescent="0.2">
      <c r="A106" s="260"/>
      <c r="B106" s="256"/>
      <c r="C106" s="256"/>
      <c r="D106" s="268" t="s">
        <v>150</v>
      </c>
      <c r="E106" s="264">
        <v>43600</v>
      </c>
      <c r="F106" s="261">
        <v>6.25E-2</v>
      </c>
      <c r="G106" s="261">
        <v>6.8125000000000005E-2</v>
      </c>
      <c r="H106" s="261">
        <v>7.2499999999999995E-2</v>
      </c>
      <c r="I106" s="262">
        <v>6.9497900000000001E-2</v>
      </c>
      <c r="J106" s="262"/>
      <c r="K106" s="269">
        <v>4445000</v>
      </c>
      <c r="L106" s="269">
        <v>1220000</v>
      </c>
      <c r="M106" s="263">
        <v>3.6434426229508197</v>
      </c>
      <c r="N106" s="270"/>
      <c r="O106" s="270"/>
      <c r="P106" s="270"/>
      <c r="Q106" s="271"/>
    </row>
    <row r="107" spans="1:17" ht="12.75" customHeight="1" x14ac:dyDescent="0.2">
      <c r="A107" s="257"/>
      <c r="B107" s="256"/>
      <c r="C107" s="256"/>
      <c r="D107" s="268" t="s">
        <v>151</v>
      </c>
      <c r="E107" s="264">
        <v>44331</v>
      </c>
      <c r="F107" s="261">
        <v>6.5000000000000002E-2</v>
      </c>
      <c r="G107" s="261">
        <v>7.0624999999999993E-2</v>
      </c>
      <c r="H107" s="261">
        <v>7.4374999999999997E-2</v>
      </c>
      <c r="I107" s="262">
        <v>7.1390700000000001E-2</v>
      </c>
      <c r="J107" s="262"/>
      <c r="K107" s="269">
        <v>1250000</v>
      </c>
      <c r="L107" s="269">
        <v>970000</v>
      </c>
      <c r="M107" s="263">
        <v>1.2886597938144331</v>
      </c>
      <c r="N107" s="270"/>
      <c r="O107" s="270"/>
      <c r="P107" s="270"/>
      <c r="Q107" s="271"/>
    </row>
    <row r="108" spans="1:17" ht="12.75" customHeight="1" x14ac:dyDescent="0.2">
      <c r="A108" s="257"/>
      <c r="B108" s="257"/>
      <c r="C108" s="257"/>
      <c r="D108" s="268" t="s">
        <v>122</v>
      </c>
      <c r="E108" s="264">
        <v>45153</v>
      </c>
      <c r="F108" s="261">
        <v>8.7499999999999994E-2</v>
      </c>
      <c r="G108" s="261">
        <v>7.3124999999999996E-2</v>
      </c>
      <c r="H108" s="261">
        <v>7.6874999999999999E-2</v>
      </c>
      <c r="I108" s="262">
        <v>0</v>
      </c>
      <c r="J108" s="262"/>
      <c r="K108" s="269">
        <v>1843700</v>
      </c>
      <c r="L108" s="217" t="s">
        <v>195</v>
      </c>
      <c r="M108" s="217" t="s">
        <v>195</v>
      </c>
      <c r="N108" s="270"/>
      <c r="O108" s="270"/>
      <c r="P108" s="270"/>
      <c r="Q108" s="271"/>
    </row>
    <row r="109" spans="1:17" ht="12.75" customHeight="1" x14ac:dyDescent="0.2">
      <c r="A109" s="256"/>
      <c r="B109" s="256"/>
      <c r="C109" s="256"/>
      <c r="D109" s="268" t="s">
        <v>123</v>
      </c>
      <c r="E109" s="264">
        <v>48167</v>
      </c>
      <c r="F109" s="261">
        <v>8.8749999999999996E-2</v>
      </c>
      <c r="G109" s="261">
        <v>7.9062499999999994E-2</v>
      </c>
      <c r="H109" s="261">
        <v>8.1250000000000003E-2</v>
      </c>
      <c r="I109" s="261">
        <v>7.9393199999999997E-2</v>
      </c>
      <c r="J109" s="262"/>
      <c r="K109" s="254">
        <v>1843000</v>
      </c>
      <c r="L109" s="254">
        <v>270000</v>
      </c>
      <c r="M109" s="263">
        <v>6.825925925925926</v>
      </c>
      <c r="N109" s="270"/>
      <c r="O109" s="270"/>
      <c r="P109" s="270"/>
      <c r="Q109" s="271"/>
    </row>
    <row r="110" spans="1:17" ht="12.75" customHeight="1" x14ac:dyDescent="0.2">
      <c r="A110" s="303" t="s">
        <v>124</v>
      </c>
      <c r="B110" s="304"/>
      <c r="C110" s="304"/>
      <c r="D110" s="304"/>
      <c r="E110" s="304"/>
      <c r="F110" s="304"/>
      <c r="G110" s="304"/>
      <c r="H110" s="304"/>
      <c r="I110" s="304"/>
      <c r="J110" s="305"/>
      <c r="K110" s="266">
        <v>14524700</v>
      </c>
      <c r="L110" s="266">
        <v>4460000</v>
      </c>
      <c r="M110" s="267"/>
      <c r="N110" s="252"/>
      <c r="O110" s="253"/>
      <c r="P110" s="272"/>
      <c r="Q110" s="252"/>
    </row>
    <row r="111" spans="1:17" s="224" customFormat="1" ht="12.75" customHeight="1" outlineLevel="1" x14ac:dyDescent="0.2">
      <c r="A111" s="215">
        <v>42836</v>
      </c>
      <c r="B111" s="215">
        <v>42838</v>
      </c>
      <c r="C111" s="215" t="s">
        <v>127</v>
      </c>
      <c r="D111" s="214" t="s">
        <v>175</v>
      </c>
      <c r="E111" s="219">
        <v>42928</v>
      </c>
      <c r="F111" s="261" t="s">
        <v>138</v>
      </c>
      <c r="G111" s="261">
        <v>4.7899999999999998E-2</v>
      </c>
      <c r="H111" s="261">
        <v>5.6500000000000002E-2</v>
      </c>
      <c r="I111" s="217">
        <v>4.9279999999999997E-2</v>
      </c>
      <c r="J111" s="217">
        <v>0.05</v>
      </c>
      <c r="K111" s="265">
        <v>11040000</v>
      </c>
      <c r="L111" s="265">
        <v>5000000</v>
      </c>
      <c r="M111" s="263">
        <f t="shared" ref="M111:M121" si="3">K111/L111</f>
        <v>2.2080000000000002</v>
      </c>
    </row>
    <row r="112" spans="1:17" s="224" customFormat="1" ht="12.75" customHeight="1" outlineLevel="1" x14ac:dyDescent="0.2">
      <c r="A112" s="172"/>
      <c r="B112" s="172"/>
      <c r="C112" s="172"/>
      <c r="D112" s="214" t="s">
        <v>160</v>
      </c>
      <c r="E112" s="219">
        <v>43202</v>
      </c>
      <c r="F112" s="261" t="s">
        <v>138</v>
      </c>
      <c r="G112" s="261">
        <v>5.9499999999999997E-2</v>
      </c>
      <c r="H112" s="261">
        <v>6.25E-2</v>
      </c>
      <c r="I112" s="217">
        <v>5.9909299999999999E-2</v>
      </c>
      <c r="J112" s="217">
        <v>6.0199999999999997E-2</v>
      </c>
      <c r="K112" s="265">
        <v>8430000</v>
      </c>
      <c r="L112" s="265">
        <v>5000000</v>
      </c>
      <c r="M112" s="263">
        <f t="shared" si="3"/>
        <v>1.6859999999999999</v>
      </c>
    </row>
    <row r="113" spans="1:17" s="224" customFormat="1" ht="12.75" customHeight="1" outlineLevel="1" x14ac:dyDescent="0.2">
      <c r="A113" s="202"/>
      <c r="B113" s="202"/>
      <c r="C113" s="202"/>
      <c r="D113" s="214" t="s">
        <v>35</v>
      </c>
      <c r="E113" s="219">
        <v>44696</v>
      </c>
      <c r="F113" s="261">
        <v>7.0000000000000007E-2</v>
      </c>
      <c r="G113" s="261">
        <v>6.7699999999999996E-2</v>
      </c>
      <c r="H113" s="261">
        <v>6.9500000000000006E-2</v>
      </c>
      <c r="I113" s="217">
        <v>6.8146200000000004E-2</v>
      </c>
      <c r="J113" s="217">
        <v>6.83E-2</v>
      </c>
      <c r="K113" s="184">
        <v>8319000</v>
      </c>
      <c r="L113" s="184">
        <v>2750000</v>
      </c>
      <c r="M113" s="263">
        <f t="shared" si="3"/>
        <v>3.0250909090909093</v>
      </c>
    </row>
    <row r="114" spans="1:17" s="224" customFormat="1" ht="12.75" customHeight="1" outlineLevel="1" x14ac:dyDescent="0.2">
      <c r="A114" s="202"/>
      <c r="B114" s="202"/>
      <c r="C114" s="202"/>
      <c r="D114" s="214" t="s">
        <v>43</v>
      </c>
      <c r="E114" s="219">
        <v>46522</v>
      </c>
      <c r="F114" s="261">
        <v>7.0000000000000007E-2</v>
      </c>
      <c r="G114" s="261">
        <v>7.0499999999999993E-2</v>
      </c>
      <c r="H114" s="261">
        <v>7.1800000000000003E-2</v>
      </c>
      <c r="I114" s="217">
        <v>7.0874500000000007E-2</v>
      </c>
      <c r="J114" s="217">
        <v>7.0999999999999994E-2</v>
      </c>
      <c r="K114" s="265">
        <v>7694800</v>
      </c>
      <c r="L114" s="184">
        <v>2000000</v>
      </c>
      <c r="M114" s="263">
        <f t="shared" si="3"/>
        <v>3.8473999999999999</v>
      </c>
    </row>
    <row r="115" spans="1:17" s="224" customFormat="1" ht="12.75" customHeight="1" outlineLevel="1" x14ac:dyDescent="0.2">
      <c r="A115" s="202"/>
      <c r="B115" s="202"/>
      <c r="C115" s="202"/>
      <c r="D115" s="214" t="s">
        <v>140</v>
      </c>
      <c r="E115" s="219">
        <v>48441</v>
      </c>
      <c r="F115" s="261">
        <v>7.4999999999999997E-2</v>
      </c>
      <c r="G115" s="261">
        <v>7.3999999999999996E-2</v>
      </c>
      <c r="H115" s="261">
        <v>7.6799999999999993E-2</v>
      </c>
      <c r="I115" s="217">
        <v>7.4698200000000006E-2</v>
      </c>
      <c r="J115" s="217">
        <v>7.4899999999999994E-2</v>
      </c>
      <c r="K115" s="265">
        <v>6409900</v>
      </c>
      <c r="L115" s="184">
        <v>2250000</v>
      </c>
      <c r="M115" s="263">
        <f t="shared" si="3"/>
        <v>2.8488444444444445</v>
      </c>
    </row>
    <row r="116" spans="1:17" s="224" customFormat="1" ht="12.75" customHeight="1" outlineLevel="1" x14ac:dyDescent="0.2">
      <c r="A116" s="297" t="s">
        <v>124</v>
      </c>
      <c r="B116" s="298"/>
      <c r="C116" s="298"/>
      <c r="D116" s="298"/>
      <c r="E116" s="298"/>
      <c r="F116" s="298"/>
      <c r="G116" s="298"/>
      <c r="H116" s="298"/>
      <c r="I116" s="298"/>
      <c r="J116" s="299"/>
      <c r="K116" s="266">
        <f>SUM(K111:K115)</f>
        <v>41893700</v>
      </c>
      <c r="L116" s="266">
        <f>SUM(L111:L115)</f>
        <v>17000000</v>
      </c>
      <c r="M116" s="267"/>
    </row>
    <row r="117" spans="1:17" s="223" customFormat="1" ht="12.75" customHeight="1" x14ac:dyDescent="0.2">
      <c r="A117" s="260">
        <v>42843</v>
      </c>
      <c r="B117" s="260">
        <v>42845</v>
      </c>
      <c r="C117" s="260" t="s">
        <v>127</v>
      </c>
      <c r="D117" s="259" t="s">
        <v>174</v>
      </c>
      <c r="E117" s="264">
        <v>43013</v>
      </c>
      <c r="F117" s="261" t="s">
        <v>138</v>
      </c>
      <c r="G117" s="261">
        <v>5.4375E-2</v>
      </c>
      <c r="H117" s="261">
        <v>6.5000000000000002E-2</v>
      </c>
      <c r="I117" s="262">
        <v>5.50328E-2</v>
      </c>
      <c r="J117" s="262"/>
      <c r="K117" s="265">
        <v>6283000</v>
      </c>
      <c r="L117" s="265">
        <v>2000000</v>
      </c>
      <c r="M117" s="263">
        <f t="shared" si="3"/>
        <v>3.1415000000000002</v>
      </c>
      <c r="N117" s="270"/>
      <c r="O117" s="270"/>
      <c r="P117" s="270"/>
      <c r="Q117" s="271"/>
    </row>
    <row r="118" spans="1:17" s="223" customFormat="1" ht="12.75" customHeight="1" x14ac:dyDescent="0.2">
      <c r="A118" s="260"/>
      <c r="B118" s="256"/>
      <c r="C118" s="256"/>
      <c r="D118" s="268" t="s">
        <v>150</v>
      </c>
      <c r="E118" s="264">
        <v>43600</v>
      </c>
      <c r="F118" s="261">
        <v>6.25E-2</v>
      </c>
      <c r="G118" s="261">
        <v>6.9062499999999999E-2</v>
      </c>
      <c r="H118" s="261">
        <v>7.3124999999999996E-2</v>
      </c>
      <c r="I118" s="262">
        <v>6.93E-2</v>
      </c>
      <c r="J118" s="262"/>
      <c r="K118" s="269">
        <v>3140000</v>
      </c>
      <c r="L118" s="269">
        <v>790000</v>
      </c>
      <c r="M118" s="263">
        <f t="shared" si="3"/>
        <v>3.9746835443037973</v>
      </c>
      <c r="N118" s="270"/>
      <c r="O118" s="270"/>
      <c r="P118" s="270"/>
      <c r="Q118" s="271"/>
    </row>
    <row r="119" spans="1:17" s="223" customFormat="1" ht="12.75" customHeight="1" x14ac:dyDescent="0.2">
      <c r="A119" s="257"/>
      <c r="B119" s="256"/>
      <c r="C119" s="256"/>
      <c r="D119" s="268" t="s">
        <v>151</v>
      </c>
      <c r="E119" s="264">
        <v>44331</v>
      </c>
      <c r="F119" s="261">
        <v>6.5000000000000002E-2</v>
      </c>
      <c r="G119" s="261">
        <v>7.1249999999999994E-2</v>
      </c>
      <c r="H119" s="261">
        <v>7.2812500000000002E-2</v>
      </c>
      <c r="I119" s="262" t="s">
        <v>195</v>
      </c>
      <c r="J119" s="262"/>
      <c r="K119" s="269">
        <v>1679000</v>
      </c>
      <c r="L119" s="269" t="s">
        <v>195</v>
      </c>
      <c r="M119" s="217" t="s">
        <v>195</v>
      </c>
      <c r="N119" s="270"/>
      <c r="O119" s="270"/>
      <c r="P119" s="270"/>
      <c r="Q119" s="271"/>
    </row>
    <row r="120" spans="1:17" s="223" customFormat="1" ht="12.75" customHeight="1" x14ac:dyDescent="0.2">
      <c r="A120" s="257"/>
      <c r="B120" s="257"/>
      <c r="C120" s="257"/>
      <c r="D120" s="268" t="s">
        <v>122</v>
      </c>
      <c r="E120" s="264">
        <v>45153</v>
      </c>
      <c r="F120" s="261">
        <v>8.7499999999999994E-2</v>
      </c>
      <c r="G120" s="261">
        <v>7.3124999999999996E-2</v>
      </c>
      <c r="H120" s="261">
        <v>0.08</v>
      </c>
      <c r="I120" s="262">
        <v>7.3594800000000002E-2</v>
      </c>
      <c r="J120" s="262"/>
      <c r="K120" s="269">
        <v>1139500</v>
      </c>
      <c r="L120" s="269">
        <v>420000</v>
      </c>
      <c r="M120" s="263">
        <f t="shared" si="3"/>
        <v>2.7130952380952382</v>
      </c>
      <c r="N120" s="270"/>
      <c r="O120" s="270"/>
      <c r="P120" s="270"/>
      <c r="Q120" s="271"/>
    </row>
    <row r="121" spans="1:17" s="223" customFormat="1" ht="12.75" customHeight="1" x14ac:dyDescent="0.2">
      <c r="A121" s="256"/>
      <c r="B121" s="256"/>
      <c r="C121" s="256"/>
      <c r="D121" s="268" t="s">
        <v>123</v>
      </c>
      <c r="E121" s="264">
        <v>48167</v>
      </c>
      <c r="F121" s="261">
        <v>8.8749999999999996E-2</v>
      </c>
      <c r="G121" s="261">
        <v>7.9062499999999994E-2</v>
      </c>
      <c r="H121" s="261">
        <v>8.2187499999999997E-2</v>
      </c>
      <c r="I121" s="261">
        <v>7.9498600000000003E-2</v>
      </c>
      <c r="J121" s="262"/>
      <c r="K121" s="254">
        <v>2093000</v>
      </c>
      <c r="L121" s="254">
        <v>260000</v>
      </c>
      <c r="M121" s="263">
        <f t="shared" si="3"/>
        <v>8.0500000000000007</v>
      </c>
      <c r="N121" s="270"/>
      <c r="O121" s="270"/>
      <c r="P121" s="270"/>
      <c r="Q121" s="271"/>
    </row>
    <row r="122" spans="1:17" s="223" customFormat="1" ht="12.75" customHeight="1" x14ac:dyDescent="0.2">
      <c r="A122" s="303" t="s">
        <v>124</v>
      </c>
      <c r="B122" s="304"/>
      <c r="C122" s="304"/>
      <c r="D122" s="304"/>
      <c r="E122" s="304"/>
      <c r="F122" s="304"/>
      <c r="G122" s="304"/>
      <c r="H122" s="304"/>
      <c r="I122" s="304"/>
      <c r="J122" s="305"/>
      <c r="K122" s="266">
        <f>SUM(K117:K121)</f>
        <v>14334500</v>
      </c>
      <c r="L122" s="266">
        <f>SUM(L117:L121)</f>
        <v>3470000</v>
      </c>
      <c r="M122" s="267"/>
      <c r="N122" s="252"/>
      <c r="O122" s="253"/>
      <c r="P122" s="272"/>
      <c r="Q122" s="252"/>
    </row>
    <row r="123" spans="1:17" s="224" customFormat="1" ht="12.75" customHeight="1" x14ac:dyDescent="0.2">
      <c r="A123" s="215">
        <v>42843</v>
      </c>
      <c r="B123" s="215">
        <v>42851</v>
      </c>
      <c r="C123" s="194" t="s">
        <v>165</v>
      </c>
      <c r="D123" s="214" t="s">
        <v>177</v>
      </c>
      <c r="E123" s="215">
        <v>43947</v>
      </c>
      <c r="F123" s="261">
        <v>8.9999999999999993E-3</v>
      </c>
      <c r="G123" s="246"/>
      <c r="H123" s="246"/>
      <c r="I123" s="261">
        <v>8.9999999999999993E-3</v>
      </c>
      <c r="J123" s="247"/>
      <c r="K123" s="191" t="s">
        <v>178</v>
      </c>
      <c r="L123" s="191" t="s">
        <v>178</v>
      </c>
      <c r="M123" s="254"/>
      <c r="N123" s="273"/>
    </row>
    <row r="124" spans="1:17" s="224" customFormat="1" ht="12.75" customHeight="1" x14ac:dyDescent="0.2">
      <c r="A124" s="192"/>
      <c r="B124" s="192"/>
      <c r="C124" s="192"/>
      <c r="D124" s="214"/>
      <c r="E124" s="215"/>
      <c r="F124" s="261"/>
      <c r="G124" s="246"/>
      <c r="H124" s="246"/>
      <c r="I124" s="274"/>
      <c r="J124" s="193"/>
      <c r="K124" s="254">
        <f>50*14520.165</f>
        <v>726008.25</v>
      </c>
      <c r="L124" s="254">
        <f>50*14520.165</f>
        <v>726008.25</v>
      </c>
      <c r="M124" s="263">
        <f>K124/L124</f>
        <v>1</v>
      </c>
      <c r="N124" s="275"/>
      <c r="O124" s="276"/>
    </row>
    <row r="125" spans="1:17" s="224" customFormat="1" ht="12.75" customHeight="1" x14ac:dyDescent="0.2">
      <c r="A125" s="297" t="s">
        <v>124</v>
      </c>
      <c r="B125" s="298"/>
      <c r="C125" s="298"/>
      <c r="D125" s="298"/>
      <c r="E125" s="298"/>
      <c r="F125" s="298"/>
      <c r="G125" s="298"/>
      <c r="H125" s="298"/>
      <c r="I125" s="298"/>
      <c r="J125" s="299"/>
      <c r="K125" s="266">
        <f>K124</f>
        <v>726008.25</v>
      </c>
      <c r="L125" s="266">
        <f>L124</f>
        <v>726008.25</v>
      </c>
      <c r="M125" s="266"/>
    </row>
    <row r="126" spans="1:17" s="224" customFormat="1" ht="12.75" customHeight="1" outlineLevel="1" x14ac:dyDescent="0.2">
      <c r="A126" s="215">
        <v>42850</v>
      </c>
      <c r="B126" s="215">
        <v>42852</v>
      </c>
      <c r="C126" s="215" t="s">
        <v>127</v>
      </c>
      <c r="D126" s="214" t="s">
        <v>176</v>
      </c>
      <c r="E126" s="219">
        <v>42942</v>
      </c>
      <c r="F126" s="261" t="s">
        <v>138</v>
      </c>
      <c r="G126" s="261">
        <v>4.8899999999999999E-2</v>
      </c>
      <c r="H126" s="261">
        <v>5.1999999999999998E-2</v>
      </c>
      <c r="I126" s="217">
        <v>4.9244799999999998E-2</v>
      </c>
      <c r="J126" s="217">
        <v>4.9500000000000002E-2</v>
      </c>
      <c r="K126" s="265">
        <v>11295000</v>
      </c>
      <c r="L126" s="265">
        <v>5000000</v>
      </c>
      <c r="M126" s="263">
        <f t="shared" ref="M126:M131" si="4">K126/L126</f>
        <v>2.2589999999999999</v>
      </c>
    </row>
    <row r="127" spans="1:17" s="224" customFormat="1" ht="12.75" customHeight="1" outlineLevel="1" x14ac:dyDescent="0.2">
      <c r="A127" s="172"/>
      <c r="B127" s="172"/>
      <c r="C127" s="172"/>
      <c r="D127" s="214" t="s">
        <v>147</v>
      </c>
      <c r="E127" s="219">
        <v>43104</v>
      </c>
      <c r="F127" s="261" t="s">
        <v>138</v>
      </c>
      <c r="G127" s="261">
        <v>5.6000000000000001E-2</v>
      </c>
      <c r="H127" s="261">
        <v>6.1899999999999997E-2</v>
      </c>
      <c r="I127" s="217">
        <v>5.6439999999999997E-2</v>
      </c>
      <c r="J127" s="217">
        <v>5.7500000000000002E-2</v>
      </c>
      <c r="K127" s="265">
        <v>6505000</v>
      </c>
      <c r="L127" s="265">
        <v>500000</v>
      </c>
      <c r="M127" s="263">
        <f t="shared" si="4"/>
        <v>13.01</v>
      </c>
    </row>
    <row r="128" spans="1:17" s="224" customFormat="1" ht="12.75" customHeight="1" outlineLevel="1" x14ac:dyDescent="0.2">
      <c r="A128" s="202"/>
      <c r="B128" s="202"/>
      <c r="C128" s="202"/>
      <c r="D128" s="214" t="s">
        <v>35</v>
      </c>
      <c r="E128" s="219">
        <v>44696</v>
      </c>
      <c r="F128" s="261">
        <v>7.0000000000000007E-2</v>
      </c>
      <c r="G128" s="261">
        <v>6.6900000000000001E-2</v>
      </c>
      <c r="H128" s="261">
        <v>6.8199999999999997E-2</v>
      </c>
      <c r="I128" s="217">
        <v>6.6985699999999995E-2</v>
      </c>
      <c r="J128" s="217">
        <v>6.7000000000000004E-2</v>
      </c>
      <c r="K128" s="184">
        <v>6788000</v>
      </c>
      <c r="L128" s="184">
        <v>500000</v>
      </c>
      <c r="M128" s="263">
        <f t="shared" si="4"/>
        <v>13.576000000000001</v>
      </c>
    </row>
    <row r="129" spans="1:16" s="224" customFormat="1" ht="12.75" customHeight="1" outlineLevel="1" x14ac:dyDescent="0.2">
      <c r="A129" s="202"/>
      <c r="B129" s="202"/>
      <c r="C129" s="202"/>
      <c r="D129" s="214" t="s">
        <v>43</v>
      </c>
      <c r="E129" s="219">
        <v>46522</v>
      </c>
      <c r="F129" s="261">
        <v>7.0000000000000007E-2</v>
      </c>
      <c r="G129" s="261">
        <v>7.0400000000000004E-2</v>
      </c>
      <c r="H129" s="261">
        <v>7.2499999999999995E-2</v>
      </c>
      <c r="I129" s="217">
        <v>7.0539699999999997E-2</v>
      </c>
      <c r="J129" s="217">
        <v>7.0699999999999999E-2</v>
      </c>
      <c r="K129" s="184">
        <v>13498400</v>
      </c>
      <c r="L129" s="184">
        <v>4500000</v>
      </c>
      <c r="M129" s="263">
        <f t="shared" si="4"/>
        <v>2.9996444444444443</v>
      </c>
    </row>
    <row r="130" spans="1:16" s="224" customFormat="1" ht="12.75" customHeight="1" outlineLevel="1" x14ac:dyDescent="0.2">
      <c r="A130" s="202"/>
      <c r="B130" s="202"/>
      <c r="C130" s="202"/>
      <c r="D130" s="214" t="s">
        <v>121</v>
      </c>
      <c r="E130" s="219">
        <v>49902</v>
      </c>
      <c r="F130" s="261">
        <v>8.2500000000000004E-2</v>
      </c>
      <c r="G130" s="261">
        <v>7.6700000000000004E-2</v>
      </c>
      <c r="H130" s="261">
        <v>7.8E-2</v>
      </c>
      <c r="I130" s="217">
        <v>7.7397400000000005E-2</v>
      </c>
      <c r="J130" s="217">
        <v>7.7700000000000005E-2</v>
      </c>
      <c r="K130" s="265">
        <v>6203500</v>
      </c>
      <c r="L130" s="184">
        <v>4800000</v>
      </c>
      <c r="M130" s="263">
        <f t="shared" si="4"/>
        <v>1.2923958333333334</v>
      </c>
    </row>
    <row r="131" spans="1:16" s="224" customFormat="1" ht="12.75" customHeight="1" outlineLevel="1" x14ac:dyDescent="0.2">
      <c r="A131" s="202"/>
      <c r="B131" s="202"/>
      <c r="C131" s="202"/>
      <c r="D131" s="214" t="s">
        <v>161</v>
      </c>
      <c r="E131" s="219">
        <v>52642</v>
      </c>
      <c r="F131" s="261">
        <v>8.7499999999999994E-2</v>
      </c>
      <c r="G131" s="261">
        <v>7.9000000000000001E-2</v>
      </c>
      <c r="H131" s="261">
        <v>8.0600000000000005E-2</v>
      </c>
      <c r="I131" s="217">
        <v>7.9589300000000002E-2</v>
      </c>
      <c r="J131" s="217">
        <v>8.0100000000000005E-2</v>
      </c>
      <c r="K131" s="265">
        <v>2848000</v>
      </c>
      <c r="L131" s="184">
        <v>1700000</v>
      </c>
      <c r="M131" s="263">
        <f t="shared" si="4"/>
        <v>1.6752941176470588</v>
      </c>
    </row>
    <row r="132" spans="1:16" s="224" customFormat="1" ht="12.75" customHeight="1" outlineLevel="1" x14ac:dyDescent="0.2">
      <c r="A132" s="297" t="s">
        <v>124</v>
      </c>
      <c r="B132" s="298"/>
      <c r="C132" s="298"/>
      <c r="D132" s="298"/>
      <c r="E132" s="298"/>
      <c r="F132" s="298"/>
      <c r="G132" s="298"/>
      <c r="H132" s="298"/>
      <c r="I132" s="298"/>
      <c r="J132" s="299"/>
      <c r="K132" s="266">
        <f>SUM(K126:K131)</f>
        <v>47137900</v>
      </c>
      <c r="L132" s="266">
        <f>SUM(L126:L131)</f>
        <v>17000000</v>
      </c>
      <c r="M132" s="267"/>
    </row>
    <row r="133" spans="1:16" s="223" customFormat="1" ht="12.75" customHeight="1" x14ac:dyDescent="0.2">
      <c r="A133" s="300" t="s">
        <v>210</v>
      </c>
      <c r="B133" s="301"/>
      <c r="C133" s="301"/>
      <c r="D133" s="301"/>
      <c r="E133" s="301"/>
      <c r="F133" s="301"/>
      <c r="G133" s="301"/>
      <c r="H133" s="301"/>
      <c r="I133" s="301"/>
      <c r="J133" s="302"/>
      <c r="K133" s="258">
        <f>SUM(K110,K116,K122,K125,K132)</f>
        <v>118616808.25</v>
      </c>
      <c r="L133" s="258">
        <f>SUM(L110,L116,L122,L125,L132)</f>
        <v>42656008.25</v>
      </c>
      <c r="M133" s="255"/>
      <c r="O133" s="253"/>
      <c r="P133" s="251"/>
    </row>
    <row r="134" spans="1:16" s="223" customFormat="1" ht="12.75" customHeight="1" x14ac:dyDescent="0.2">
      <c r="A134" s="300" t="s">
        <v>209</v>
      </c>
      <c r="B134" s="301"/>
      <c r="C134" s="301"/>
      <c r="D134" s="301"/>
      <c r="E134" s="301"/>
      <c r="F134" s="301"/>
      <c r="G134" s="301"/>
      <c r="H134" s="301"/>
      <c r="I134" s="301"/>
      <c r="J134" s="302"/>
      <c r="K134" s="258">
        <f>SUM(K104,K110,K125,K122,K116,K132)</f>
        <v>816405035.00999999</v>
      </c>
      <c r="L134" s="258">
        <f>SUM(L104,L110,L116,L122,L125,L132)</f>
        <v>308430275.25</v>
      </c>
      <c r="M134" s="255"/>
      <c r="O134" s="253"/>
      <c r="P134" s="251"/>
    </row>
    <row r="135" spans="1:16" s="224" customFormat="1" ht="12.75" customHeight="1" outlineLevel="1" x14ac:dyDescent="0.2">
      <c r="A135" s="215">
        <v>42857</v>
      </c>
      <c r="B135" s="215">
        <v>42859</v>
      </c>
      <c r="C135" s="215" t="s">
        <v>127</v>
      </c>
      <c r="D135" s="259" t="s">
        <v>179</v>
      </c>
      <c r="E135" s="264">
        <v>43042</v>
      </c>
      <c r="F135" s="261" t="s">
        <v>138</v>
      </c>
      <c r="G135" s="261">
        <v>5.4375E-2</v>
      </c>
      <c r="H135" s="261">
        <v>6.5000000000000002E-2</v>
      </c>
      <c r="I135" s="262">
        <v>5.50538E-2</v>
      </c>
      <c r="J135" s="262"/>
      <c r="K135" s="265">
        <v>4988000</v>
      </c>
      <c r="L135" s="265">
        <v>2000000</v>
      </c>
      <c r="M135" s="263">
        <f t="shared" ref="M135:M136" si="5">K135/L135</f>
        <v>2.4940000000000002</v>
      </c>
    </row>
    <row r="136" spans="1:16" s="224" customFormat="1" ht="12.75" customHeight="1" outlineLevel="1" x14ac:dyDescent="0.2">
      <c r="A136" s="172"/>
      <c r="B136" s="172"/>
      <c r="C136" s="172"/>
      <c r="D136" s="268" t="s">
        <v>150</v>
      </c>
      <c r="E136" s="264">
        <v>43600</v>
      </c>
      <c r="F136" s="261">
        <v>6.25E-2</v>
      </c>
      <c r="G136" s="261">
        <v>6.9062499999999999E-2</v>
      </c>
      <c r="H136" s="261">
        <v>7.1562500000000001E-2</v>
      </c>
      <c r="I136" s="262">
        <v>6.9295499999999996E-2</v>
      </c>
      <c r="J136" s="262"/>
      <c r="K136" s="269">
        <v>2866000</v>
      </c>
      <c r="L136" s="269">
        <v>820000</v>
      </c>
      <c r="M136" s="263">
        <f t="shared" si="5"/>
        <v>3.4951219512195122</v>
      </c>
    </row>
    <row r="137" spans="1:16" s="224" customFormat="1" ht="12.75" customHeight="1" outlineLevel="1" x14ac:dyDescent="0.2">
      <c r="A137" s="202"/>
      <c r="B137" s="202"/>
      <c r="C137" s="202"/>
      <c r="D137" s="268" t="s">
        <v>151</v>
      </c>
      <c r="E137" s="264">
        <v>44331</v>
      </c>
      <c r="F137" s="261">
        <v>6.5000000000000002E-2</v>
      </c>
      <c r="G137" s="261">
        <v>6.9375000000000006E-2</v>
      </c>
      <c r="H137" s="261">
        <v>7.2499999999999995E-2</v>
      </c>
      <c r="I137" s="262">
        <v>7.0408999999999999E-2</v>
      </c>
      <c r="J137" s="262"/>
      <c r="K137" s="269">
        <v>1220000</v>
      </c>
      <c r="L137" s="269">
        <v>710000</v>
      </c>
      <c r="M137" s="263">
        <f t="shared" ref="M137:M139" si="6">K137/L137</f>
        <v>1.7183098591549295</v>
      </c>
    </row>
    <row r="138" spans="1:16" s="224" customFormat="1" ht="12.75" customHeight="1" outlineLevel="1" x14ac:dyDescent="0.2">
      <c r="A138" s="202"/>
      <c r="B138" s="202"/>
      <c r="C138" s="202"/>
      <c r="D138" s="268" t="s">
        <v>122</v>
      </c>
      <c r="E138" s="264">
        <v>45153</v>
      </c>
      <c r="F138" s="261">
        <v>8.7499999999999994E-2</v>
      </c>
      <c r="G138" s="261">
        <v>7.3124999999999996E-2</v>
      </c>
      <c r="H138" s="261">
        <v>7.6249999999999998E-2</v>
      </c>
      <c r="I138" s="262" t="s">
        <v>195</v>
      </c>
      <c r="J138" s="262"/>
      <c r="K138" s="269">
        <v>644000</v>
      </c>
      <c r="L138" s="269" t="s">
        <v>195</v>
      </c>
      <c r="M138" s="217" t="s">
        <v>195</v>
      </c>
    </row>
    <row r="139" spans="1:16" s="224" customFormat="1" ht="12.75" customHeight="1" outlineLevel="1" x14ac:dyDescent="0.2">
      <c r="A139" s="202"/>
      <c r="B139" s="202"/>
      <c r="C139" s="202"/>
      <c r="D139" s="268" t="s">
        <v>123</v>
      </c>
      <c r="E139" s="264">
        <v>48167</v>
      </c>
      <c r="F139" s="261">
        <v>8.8749999999999996E-2</v>
      </c>
      <c r="G139" s="261">
        <v>7.8750000000000001E-2</v>
      </c>
      <c r="H139" s="261">
        <v>8.1250000000000003E-2</v>
      </c>
      <c r="I139" s="261">
        <v>7.9499100000000003E-2</v>
      </c>
      <c r="J139" s="262"/>
      <c r="K139" s="254">
        <v>1233700</v>
      </c>
      <c r="L139" s="254">
        <v>545000</v>
      </c>
      <c r="M139" s="263">
        <f t="shared" si="6"/>
        <v>2.2636697247706423</v>
      </c>
    </row>
    <row r="140" spans="1:16" s="224" customFormat="1" ht="12.75" customHeight="1" outlineLevel="1" x14ac:dyDescent="0.2">
      <c r="A140" s="297" t="s">
        <v>124</v>
      </c>
      <c r="B140" s="298"/>
      <c r="C140" s="298"/>
      <c r="D140" s="298"/>
      <c r="E140" s="298"/>
      <c r="F140" s="298"/>
      <c r="G140" s="298"/>
      <c r="H140" s="298"/>
      <c r="I140" s="298"/>
      <c r="J140" s="299"/>
      <c r="K140" s="266">
        <f>SUM(K135:K139)</f>
        <v>10951700</v>
      </c>
      <c r="L140" s="266">
        <f>SUM(L135:L139)</f>
        <v>4075000</v>
      </c>
      <c r="M140" s="267"/>
    </row>
    <row r="141" spans="1:16" s="224" customFormat="1" ht="12.75" customHeight="1" outlineLevel="1" x14ac:dyDescent="0.2">
      <c r="A141" s="215">
        <v>42864</v>
      </c>
      <c r="B141" s="215">
        <v>42867</v>
      </c>
      <c r="C141" s="215" t="s">
        <v>127</v>
      </c>
      <c r="D141" s="214" t="s">
        <v>180</v>
      </c>
      <c r="E141" s="219">
        <v>42958</v>
      </c>
      <c r="F141" s="261" t="s">
        <v>138</v>
      </c>
      <c r="G141" s="261">
        <v>4.9000000000000002E-2</v>
      </c>
      <c r="H141" s="261">
        <v>5.2900000000000003E-2</v>
      </c>
      <c r="I141" s="217">
        <v>4.9725999999999999E-2</v>
      </c>
      <c r="J141" s="217">
        <v>5.0500000000000003E-2</v>
      </c>
      <c r="K141" s="265">
        <v>5630000</v>
      </c>
      <c r="L141" s="265">
        <v>5000000</v>
      </c>
      <c r="M141" s="263">
        <f t="shared" ref="M141:M145" si="7">K141/L141</f>
        <v>1.1259999999999999</v>
      </c>
    </row>
    <row r="142" spans="1:16" s="224" customFormat="1" ht="12.75" customHeight="1" outlineLevel="1" x14ac:dyDescent="0.2">
      <c r="A142" s="172"/>
      <c r="B142" s="172"/>
      <c r="C142" s="172"/>
      <c r="D142" s="214" t="s">
        <v>181</v>
      </c>
      <c r="E142" s="219">
        <v>43231</v>
      </c>
      <c r="F142" s="261" t="s">
        <v>138</v>
      </c>
      <c r="G142" s="261">
        <v>5.7000000000000002E-2</v>
      </c>
      <c r="H142" s="261">
        <v>6.1800000000000001E-2</v>
      </c>
      <c r="I142" s="217">
        <v>5.8462500000000001E-2</v>
      </c>
      <c r="J142" s="217">
        <v>5.8999999999999997E-2</v>
      </c>
      <c r="K142" s="265">
        <v>5360000</v>
      </c>
      <c r="L142" s="265">
        <v>2300000</v>
      </c>
      <c r="M142" s="263">
        <f t="shared" si="7"/>
        <v>2.3304347826086955</v>
      </c>
    </row>
    <row r="143" spans="1:16" s="224" customFormat="1" ht="12.75" customHeight="1" outlineLevel="1" x14ac:dyDescent="0.2">
      <c r="A143" s="202"/>
      <c r="B143" s="202"/>
      <c r="C143" s="202"/>
      <c r="D143" s="214" t="s">
        <v>35</v>
      </c>
      <c r="E143" s="219">
        <v>44696</v>
      </c>
      <c r="F143" s="261">
        <v>7.0000000000000007E-2</v>
      </c>
      <c r="G143" s="261">
        <v>6.6900000000000001E-2</v>
      </c>
      <c r="H143" s="261">
        <v>6.8000000000000005E-2</v>
      </c>
      <c r="I143" s="217">
        <v>6.7194699999999996E-2</v>
      </c>
      <c r="J143" s="217">
        <v>6.7400000000000002E-2</v>
      </c>
      <c r="K143" s="184">
        <v>5129000</v>
      </c>
      <c r="L143" s="184">
        <v>2400000</v>
      </c>
      <c r="M143" s="263">
        <f t="shared" si="7"/>
        <v>2.1370833333333334</v>
      </c>
    </row>
    <row r="144" spans="1:16" s="224" customFormat="1" ht="12.75" customHeight="1" outlineLevel="1" x14ac:dyDescent="0.2">
      <c r="A144" s="202"/>
      <c r="B144" s="202"/>
      <c r="C144" s="202"/>
      <c r="D144" s="214" t="s">
        <v>140</v>
      </c>
      <c r="E144" s="219">
        <v>48441</v>
      </c>
      <c r="F144" s="261">
        <v>7.4999999999999997E-2</v>
      </c>
      <c r="G144" s="261">
        <v>7.4499999999999997E-2</v>
      </c>
      <c r="H144" s="261">
        <v>7.5999999999999998E-2</v>
      </c>
      <c r="I144" s="217">
        <v>7.5240199999999993E-2</v>
      </c>
      <c r="J144" s="217">
        <v>7.5499999999999998E-2</v>
      </c>
      <c r="K144" s="184">
        <v>4094500</v>
      </c>
      <c r="L144" s="184">
        <v>2850000</v>
      </c>
      <c r="M144" s="263">
        <f t="shared" si="7"/>
        <v>1.4366666666666668</v>
      </c>
    </row>
    <row r="145" spans="1:16" s="224" customFormat="1" ht="12.75" customHeight="1" outlineLevel="1" x14ac:dyDescent="0.2">
      <c r="A145" s="202"/>
      <c r="B145" s="202"/>
      <c r="C145" s="202"/>
      <c r="D145" s="214" t="s">
        <v>121</v>
      </c>
      <c r="E145" s="219">
        <v>49810</v>
      </c>
      <c r="F145" s="261">
        <v>8.2500000000000004E-2</v>
      </c>
      <c r="G145" s="261">
        <v>7.7899999999999997E-2</v>
      </c>
      <c r="H145" s="261">
        <v>0.08</v>
      </c>
      <c r="I145" s="217">
        <v>7.8298699999999999E-2</v>
      </c>
      <c r="J145" s="217">
        <v>7.8399999999999997E-2</v>
      </c>
      <c r="K145" s="265">
        <v>3978700</v>
      </c>
      <c r="L145" s="184">
        <v>1450000</v>
      </c>
      <c r="M145" s="263">
        <f t="shared" si="7"/>
        <v>2.7439310344827588</v>
      </c>
    </row>
    <row r="146" spans="1:16" s="224" customFormat="1" ht="12.75" customHeight="1" outlineLevel="1" x14ac:dyDescent="0.2">
      <c r="A146" s="297" t="s">
        <v>124</v>
      </c>
      <c r="B146" s="298"/>
      <c r="C146" s="298"/>
      <c r="D146" s="298"/>
      <c r="E146" s="298"/>
      <c r="F146" s="298"/>
      <c r="G146" s="298"/>
      <c r="H146" s="298"/>
      <c r="I146" s="298"/>
      <c r="J146" s="299"/>
      <c r="K146" s="266">
        <f>SUM(K141:K145)</f>
        <v>24192200</v>
      </c>
      <c r="L146" s="266">
        <f>SUM(L141:L145)</f>
        <v>14000000</v>
      </c>
      <c r="M146" s="267"/>
    </row>
    <row r="147" spans="1:16" s="224" customFormat="1" ht="12.75" customHeight="1" outlineLevel="1" x14ac:dyDescent="0.2">
      <c r="A147" s="215">
        <v>42871</v>
      </c>
      <c r="B147" s="215">
        <v>42873</v>
      </c>
      <c r="C147" s="215" t="s">
        <v>127</v>
      </c>
      <c r="D147" s="259" t="s">
        <v>179</v>
      </c>
      <c r="E147" s="264">
        <v>43042</v>
      </c>
      <c r="F147" s="261" t="s">
        <v>138</v>
      </c>
      <c r="G147" s="261">
        <v>5.3437499999999999E-2</v>
      </c>
      <c r="H147" s="261">
        <v>6.1562499999999999E-2</v>
      </c>
      <c r="I147" s="262">
        <v>5.4373400000000002E-2</v>
      </c>
      <c r="J147" s="262"/>
      <c r="K147" s="265">
        <v>5870000</v>
      </c>
      <c r="L147" s="265">
        <v>2000000</v>
      </c>
      <c r="M147" s="263">
        <f t="shared" ref="M147:M150" si="8">K147/L147</f>
        <v>2.9350000000000001</v>
      </c>
    </row>
    <row r="148" spans="1:16" s="224" customFormat="1" ht="12.75" customHeight="1" outlineLevel="1" x14ac:dyDescent="0.2">
      <c r="A148" s="172"/>
      <c r="B148" s="172"/>
      <c r="C148" s="172"/>
      <c r="D148" s="268" t="s">
        <v>150</v>
      </c>
      <c r="E148" s="264">
        <v>43600</v>
      </c>
      <c r="F148" s="261">
        <v>6.25E-2</v>
      </c>
      <c r="G148" s="261">
        <v>6.8125000000000005E-2</v>
      </c>
      <c r="H148" s="261">
        <v>7.4687500000000004E-2</v>
      </c>
      <c r="I148" s="262">
        <v>6.9861999999999994E-2</v>
      </c>
      <c r="J148" s="262"/>
      <c r="K148" s="269">
        <v>2191000</v>
      </c>
      <c r="L148" s="269">
        <v>1980000</v>
      </c>
      <c r="M148" s="263">
        <f t="shared" si="8"/>
        <v>1.1065656565656565</v>
      </c>
    </row>
    <row r="149" spans="1:16" s="224" customFormat="1" ht="12.75" customHeight="1" outlineLevel="1" x14ac:dyDescent="0.2">
      <c r="A149" s="202"/>
      <c r="B149" s="202"/>
      <c r="C149" s="202"/>
      <c r="D149" s="268" t="s">
        <v>151</v>
      </c>
      <c r="E149" s="264">
        <v>44331</v>
      </c>
      <c r="F149" s="261">
        <v>6.5000000000000002E-2</v>
      </c>
      <c r="G149" s="261">
        <v>7.0937500000000001E-2</v>
      </c>
      <c r="H149" s="261">
        <v>7.4062500000000003E-2</v>
      </c>
      <c r="I149" s="262" t="s">
        <v>195</v>
      </c>
      <c r="J149" s="262"/>
      <c r="K149" s="269">
        <v>651000</v>
      </c>
      <c r="L149" s="269" t="s">
        <v>195</v>
      </c>
      <c r="M149" s="217" t="s">
        <v>195</v>
      </c>
    </row>
    <row r="150" spans="1:16" s="224" customFormat="1" ht="12.75" customHeight="1" outlineLevel="1" x14ac:dyDescent="0.2">
      <c r="A150" s="202"/>
      <c r="B150" s="202"/>
      <c r="C150" s="202"/>
      <c r="D150" s="268" t="s">
        <v>122</v>
      </c>
      <c r="E150" s="264">
        <v>45153</v>
      </c>
      <c r="F150" s="261">
        <v>8.7499999999999994E-2</v>
      </c>
      <c r="G150" s="261">
        <v>7.2499999999999995E-2</v>
      </c>
      <c r="H150" s="261">
        <v>7.6249999999999998E-2</v>
      </c>
      <c r="I150" s="262">
        <v>7.3598499999999997E-2</v>
      </c>
      <c r="J150" s="262"/>
      <c r="K150" s="269">
        <v>682600</v>
      </c>
      <c r="L150" s="269">
        <v>445000</v>
      </c>
      <c r="M150" s="263">
        <f t="shared" si="8"/>
        <v>1.5339325842696629</v>
      </c>
    </row>
    <row r="151" spans="1:16" s="224" customFormat="1" ht="12.75" customHeight="1" outlineLevel="1" x14ac:dyDescent="0.2">
      <c r="A151" s="202"/>
      <c r="B151" s="202"/>
      <c r="C151" s="202"/>
      <c r="D151" s="268" t="s">
        <v>123</v>
      </c>
      <c r="E151" s="264">
        <v>48167</v>
      </c>
      <c r="F151" s="261">
        <v>8.8749999999999996E-2</v>
      </c>
      <c r="G151" s="261">
        <v>7.8750000000000001E-2</v>
      </c>
      <c r="H151" s="261">
        <v>8.0625000000000002E-2</v>
      </c>
      <c r="I151" s="261">
        <v>7.9913300000000007E-2</v>
      </c>
      <c r="J151" s="262"/>
      <c r="K151" s="254">
        <v>1592500</v>
      </c>
      <c r="L151" s="254">
        <v>1592500</v>
      </c>
      <c r="M151" s="263">
        <f t="shared" ref="M151" si="9">K151/L151</f>
        <v>1</v>
      </c>
    </row>
    <row r="152" spans="1:16" s="224" customFormat="1" ht="12.75" customHeight="1" outlineLevel="1" x14ac:dyDescent="0.2">
      <c r="A152" s="297" t="s">
        <v>124</v>
      </c>
      <c r="B152" s="298"/>
      <c r="C152" s="298"/>
      <c r="D152" s="298"/>
      <c r="E152" s="298"/>
      <c r="F152" s="298"/>
      <c r="G152" s="298"/>
      <c r="H152" s="298"/>
      <c r="I152" s="298"/>
      <c r="J152" s="299"/>
      <c r="K152" s="266">
        <f>SUM(K147:K151)</f>
        <v>10987100</v>
      </c>
      <c r="L152" s="266">
        <f>SUM(L147:L151)</f>
        <v>6017500</v>
      </c>
      <c r="M152" s="267"/>
    </row>
    <row r="153" spans="1:16" s="224" customFormat="1" ht="12.75" customHeight="1" outlineLevel="1" x14ac:dyDescent="0.2">
      <c r="A153" s="215">
        <v>42878</v>
      </c>
      <c r="B153" s="215">
        <v>42881</v>
      </c>
      <c r="C153" s="215" t="s">
        <v>127</v>
      </c>
      <c r="D153" s="259" t="s">
        <v>182</v>
      </c>
      <c r="E153" s="264">
        <v>42972</v>
      </c>
      <c r="F153" s="261" t="s">
        <v>138</v>
      </c>
      <c r="G153" s="261">
        <v>4.8500000000000001E-2</v>
      </c>
      <c r="H153" s="261">
        <v>5.1999999999999998E-2</v>
      </c>
      <c r="I153" s="262">
        <v>4.9598799999999998E-2</v>
      </c>
      <c r="J153" s="262">
        <v>0.05</v>
      </c>
      <c r="K153" s="265">
        <v>5670000</v>
      </c>
      <c r="L153" s="265">
        <v>3250000</v>
      </c>
      <c r="M153" s="263">
        <f t="shared" ref="M153:M155" si="10">K153/L153</f>
        <v>1.7446153846153847</v>
      </c>
    </row>
    <row r="154" spans="1:16" s="224" customFormat="1" ht="12.75" customHeight="1" outlineLevel="1" x14ac:dyDescent="0.2">
      <c r="A154" s="172"/>
      <c r="B154" s="172"/>
      <c r="C154" s="172"/>
      <c r="D154" s="268" t="s">
        <v>153</v>
      </c>
      <c r="E154" s="264">
        <v>43132</v>
      </c>
      <c r="F154" s="261" t="s">
        <v>138</v>
      </c>
      <c r="G154" s="261">
        <v>5.5E-2</v>
      </c>
      <c r="H154" s="261">
        <v>0.06</v>
      </c>
      <c r="I154" s="262">
        <v>5.6090000000000001E-2</v>
      </c>
      <c r="J154" s="262">
        <v>5.7000000000000002E-2</v>
      </c>
      <c r="K154" s="269">
        <v>5450000</v>
      </c>
      <c r="L154" s="269">
        <v>1600000</v>
      </c>
      <c r="M154" s="263">
        <f t="shared" si="10"/>
        <v>3.40625</v>
      </c>
    </row>
    <row r="155" spans="1:16" s="224" customFormat="1" ht="12.75" customHeight="1" outlineLevel="1" x14ac:dyDescent="0.2">
      <c r="A155" s="202"/>
      <c r="B155" s="202"/>
      <c r="C155" s="202"/>
      <c r="D155" s="268" t="s">
        <v>43</v>
      </c>
      <c r="E155" s="264">
        <v>46522</v>
      </c>
      <c r="F155" s="261">
        <v>7.0000000000000007E-2</v>
      </c>
      <c r="G155" s="261">
        <v>6.9199999999999998E-2</v>
      </c>
      <c r="H155" s="261">
        <v>7.0999999999999994E-2</v>
      </c>
      <c r="I155" s="262">
        <v>6.9211599999999998E-2</v>
      </c>
      <c r="J155" s="262">
        <v>6.93E-2</v>
      </c>
      <c r="K155" s="269">
        <v>9371100</v>
      </c>
      <c r="L155" s="269">
        <v>2100000</v>
      </c>
      <c r="M155" s="263">
        <f t="shared" si="10"/>
        <v>4.4624285714285712</v>
      </c>
    </row>
    <row r="156" spans="1:16" s="224" customFormat="1" ht="12.75" customHeight="1" outlineLevel="1" x14ac:dyDescent="0.2">
      <c r="A156" s="202"/>
      <c r="B156" s="202"/>
      <c r="C156" s="202"/>
      <c r="D156" s="268" t="s">
        <v>140</v>
      </c>
      <c r="E156" s="264">
        <v>48441</v>
      </c>
      <c r="F156" s="261">
        <v>7.4999999999999997E-2</v>
      </c>
      <c r="G156" s="261">
        <v>7.3400000000000007E-2</v>
      </c>
      <c r="H156" s="261">
        <v>7.5800000000000006E-2</v>
      </c>
      <c r="I156" s="262">
        <v>7.3525300000000002E-2</v>
      </c>
      <c r="J156" s="262">
        <v>7.3700000000000002E-2</v>
      </c>
      <c r="K156" s="269">
        <v>8562800</v>
      </c>
      <c r="L156" s="269">
        <v>3100000</v>
      </c>
      <c r="M156" s="263">
        <f t="shared" ref="M156:M157" si="11">K156/L156</f>
        <v>2.762193548387097</v>
      </c>
    </row>
    <row r="157" spans="1:16" s="224" customFormat="1" ht="12.75" customHeight="1" outlineLevel="1" x14ac:dyDescent="0.2">
      <c r="A157" s="202"/>
      <c r="B157" s="202"/>
      <c r="C157" s="202"/>
      <c r="D157" s="268" t="s">
        <v>121</v>
      </c>
      <c r="E157" s="264">
        <v>49810</v>
      </c>
      <c r="F157" s="261">
        <v>8.2500000000000004E-2</v>
      </c>
      <c r="G157" s="261">
        <v>7.5200000000000003E-2</v>
      </c>
      <c r="H157" s="261">
        <v>7.8E-2</v>
      </c>
      <c r="I157" s="261">
        <v>7.5768299999999997E-2</v>
      </c>
      <c r="J157" s="262">
        <v>7.5899999999999995E-2</v>
      </c>
      <c r="K157" s="254">
        <v>14819600</v>
      </c>
      <c r="L157" s="254">
        <v>3950000</v>
      </c>
      <c r="M157" s="263">
        <f t="shared" si="11"/>
        <v>3.7517974683544302</v>
      </c>
    </row>
    <row r="158" spans="1:16" s="224" customFormat="1" ht="12.75" customHeight="1" outlineLevel="1" x14ac:dyDescent="0.2">
      <c r="A158" s="297" t="s">
        <v>124</v>
      </c>
      <c r="B158" s="298"/>
      <c r="C158" s="298"/>
      <c r="D158" s="298"/>
      <c r="E158" s="298"/>
      <c r="F158" s="298"/>
      <c r="G158" s="298"/>
      <c r="H158" s="298"/>
      <c r="I158" s="298"/>
      <c r="J158" s="299"/>
      <c r="K158" s="266">
        <f>SUM(K153:K157)</f>
        <v>43873500</v>
      </c>
      <c r="L158" s="266">
        <f>SUM(L153:L157)</f>
        <v>14000000</v>
      </c>
      <c r="M158" s="267"/>
    </row>
    <row r="159" spans="1:16" s="223" customFormat="1" ht="12.75" customHeight="1" x14ac:dyDescent="0.2">
      <c r="A159" s="300" t="s">
        <v>207</v>
      </c>
      <c r="B159" s="301"/>
      <c r="C159" s="301"/>
      <c r="D159" s="301"/>
      <c r="E159" s="301"/>
      <c r="F159" s="301"/>
      <c r="G159" s="301"/>
      <c r="H159" s="301"/>
      <c r="I159" s="301"/>
      <c r="J159" s="302"/>
      <c r="K159" s="258">
        <f>SUM(K140,K146,K152,K158)</f>
        <v>90004500</v>
      </c>
      <c r="L159" s="258">
        <f>SUM(L140,L146,L152,L158)</f>
        <v>38092500</v>
      </c>
      <c r="M159" s="255"/>
      <c r="O159" s="253"/>
      <c r="P159" s="251"/>
    </row>
    <row r="160" spans="1:16" s="223" customFormat="1" ht="12.75" customHeight="1" x14ac:dyDescent="0.2">
      <c r="A160" s="300" t="s">
        <v>208</v>
      </c>
      <c r="B160" s="301"/>
      <c r="C160" s="301"/>
      <c r="D160" s="301"/>
      <c r="E160" s="301"/>
      <c r="F160" s="301"/>
      <c r="G160" s="301"/>
      <c r="H160" s="301"/>
      <c r="I160" s="301"/>
      <c r="J160" s="302"/>
      <c r="K160" s="258">
        <f>SUM(K134,K140,K146,K152,K158)</f>
        <v>906409535.00999999</v>
      </c>
      <c r="L160" s="258">
        <f>SUM(L134,L140,L146,L152,L158)</f>
        <v>346522775.25</v>
      </c>
      <c r="M160" s="255"/>
      <c r="O160" s="253"/>
      <c r="P160" s="251"/>
    </row>
    <row r="161" spans="1:23" s="224" customFormat="1" ht="12.75" customHeight="1" outlineLevel="1" x14ac:dyDescent="0.2">
      <c r="A161" s="215">
        <v>42885</v>
      </c>
      <c r="B161" s="215">
        <v>42888</v>
      </c>
      <c r="C161" s="215" t="s">
        <v>127</v>
      </c>
      <c r="D161" s="259" t="s">
        <v>183</v>
      </c>
      <c r="E161" s="264">
        <v>43070</v>
      </c>
      <c r="F161" s="261" t="s">
        <v>138</v>
      </c>
      <c r="G161" s="261">
        <v>5.2812499999999998E-2</v>
      </c>
      <c r="H161" s="261">
        <v>6.5000000000000002E-2</v>
      </c>
      <c r="I161" s="262">
        <v>5.3531299999999997E-2</v>
      </c>
      <c r="J161" s="262"/>
      <c r="K161" s="265">
        <v>4976000</v>
      </c>
      <c r="L161" s="265">
        <v>2000000</v>
      </c>
      <c r="M161" s="263">
        <f t="shared" ref="M161:M163" si="12">K161/L161</f>
        <v>2.488</v>
      </c>
    </row>
    <row r="162" spans="1:23" s="224" customFormat="1" ht="12.75" customHeight="1" outlineLevel="1" x14ac:dyDescent="0.2">
      <c r="A162" s="172"/>
      <c r="B162" s="172"/>
      <c r="C162" s="172"/>
      <c r="D162" s="268" t="s">
        <v>150</v>
      </c>
      <c r="E162" s="264">
        <v>43600</v>
      </c>
      <c r="F162" s="261">
        <v>6.25E-2</v>
      </c>
      <c r="G162" s="261">
        <v>6.8125000000000005E-2</v>
      </c>
      <c r="H162" s="261">
        <v>7.2187500000000002E-2</v>
      </c>
      <c r="I162" s="262">
        <v>6.8396200000000004E-2</v>
      </c>
      <c r="J162" s="262"/>
      <c r="K162" s="269">
        <v>3390000</v>
      </c>
      <c r="L162" s="269">
        <v>550000</v>
      </c>
      <c r="M162" s="263">
        <f t="shared" si="12"/>
        <v>6.163636363636364</v>
      </c>
    </row>
    <row r="163" spans="1:23" s="224" customFormat="1" ht="12.75" customHeight="1" outlineLevel="1" x14ac:dyDescent="0.2">
      <c r="A163" s="202"/>
      <c r="B163" s="202"/>
      <c r="C163" s="202"/>
      <c r="D163" s="268" t="s">
        <v>151</v>
      </c>
      <c r="E163" s="264">
        <v>44331</v>
      </c>
      <c r="F163" s="261">
        <v>6.5000000000000002E-2</v>
      </c>
      <c r="G163" s="261">
        <v>7.0000000000000007E-2</v>
      </c>
      <c r="H163" s="261">
        <v>7.2499999999999995E-2</v>
      </c>
      <c r="I163" s="262">
        <v>7.0596099999999995E-2</v>
      </c>
      <c r="J163" s="262"/>
      <c r="K163" s="269">
        <v>1208000</v>
      </c>
      <c r="L163" s="269">
        <v>680000</v>
      </c>
      <c r="M163" s="263">
        <f t="shared" si="12"/>
        <v>1.776470588235294</v>
      </c>
    </row>
    <row r="164" spans="1:23" s="224" customFormat="1" ht="12.75" customHeight="1" outlineLevel="1" x14ac:dyDescent="0.2">
      <c r="A164" s="202"/>
      <c r="B164" s="202"/>
      <c r="C164" s="202"/>
      <c r="D164" s="268" t="s">
        <v>122</v>
      </c>
      <c r="E164" s="264">
        <v>45153</v>
      </c>
      <c r="F164" s="261">
        <v>8.7499999999999994E-2</v>
      </c>
      <c r="G164" s="261">
        <v>7.1562500000000001E-2</v>
      </c>
      <c r="H164" s="261">
        <v>7.7187500000000006E-2</v>
      </c>
      <c r="I164" s="262">
        <v>7.2497699999999998E-2</v>
      </c>
      <c r="J164" s="262"/>
      <c r="K164" s="269">
        <v>566000</v>
      </c>
      <c r="L164" s="269">
        <v>395000</v>
      </c>
      <c r="M164" s="263">
        <f t="shared" ref="M164:M165" si="13">K164/L164</f>
        <v>1.4329113924050634</v>
      </c>
    </row>
    <row r="165" spans="1:23" s="224" customFormat="1" ht="12.75" customHeight="1" outlineLevel="1" x14ac:dyDescent="0.2">
      <c r="A165" s="202"/>
      <c r="B165" s="202"/>
      <c r="C165" s="202"/>
      <c r="D165" s="268" t="s">
        <v>123</v>
      </c>
      <c r="E165" s="264">
        <v>48167</v>
      </c>
      <c r="F165" s="261">
        <v>8.8749999999999996E-2</v>
      </c>
      <c r="G165" s="261">
        <v>7.5937500000000005E-2</v>
      </c>
      <c r="H165" s="261">
        <v>8.1562499999999996E-2</v>
      </c>
      <c r="I165" s="261">
        <v>7.8794600000000006E-2</v>
      </c>
      <c r="J165" s="262"/>
      <c r="K165" s="254">
        <v>928000</v>
      </c>
      <c r="L165" s="254">
        <v>455000</v>
      </c>
      <c r="M165" s="263">
        <f t="shared" si="13"/>
        <v>2.0395604395604394</v>
      </c>
    </row>
    <row r="166" spans="1:23" s="224" customFormat="1" ht="12.75" customHeight="1" outlineLevel="1" x14ac:dyDescent="0.2">
      <c r="A166" s="297" t="s">
        <v>124</v>
      </c>
      <c r="B166" s="298"/>
      <c r="C166" s="298"/>
      <c r="D166" s="298"/>
      <c r="E166" s="298"/>
      <c r="F166" s="298"/>
      <c r="G166" s="298"/>
      <c r="H166" s="298"/>
      <c r="I166" s="298"/>
      <c r="J166" s="299"/>
      <c r="K166" s="266">
        <f>SUM(K161:K165)</f>
        <v>11068000</v>
      </c>
      <c r="L166" s="266">
        <f>SUM(L161:L165)</f>
        <v>4080000</v>
      </c>
      <c r="M166" s="267"/>
    </row>
    <row r="167" spans="1:23" s="224" customFormat="1" ht="12.75" customHeight="1" outlineLevel="1" x14ac:dyDescent="0.2">
      <c r="A167" s="215">
        <v>42885</v>
      </c>
      <c r="B167" s="215">
        <v>42888</v>
      </c>
      <c r="C167" s="222" t="s">
        <v>165</v>
      </c>
      <c r="D167" s="214" t="s">
        <v>184</v>
      </c>
      <c r="E167" s="219">
        <v>43125</v>
      </c>
      <c r="F167" s="261">
        <v>7.7499999999999999E-2</v>
      </c>
      <c r="G167" s="261"/>
      <c r="H167" s="261"/>
      <c r="I167" s="217"/>
      <c r="J167" s="217"/>
      <c r="K167" s="266">
        <v>300000</v>
      </c>
      <c r="L167" s="266">
        <v>300000</v>
      </c>
      <c r="M167" s="263">
        <v>1</v>
      </c>
    </row>
    <row r="168" spans="1:23" s="224" customFormat="1" ht="12.75" customHeight="1" outlineLevel="1" x14ac:dyDescent="0.2">
      <c r="A168" s="297" t="s">
        <v>124</v>
      </c>
      <c r="B168" s="298"/>
      <c r="C168" s="298"/>
      <c r="D168" s="298"/>
      <c r="E168" s="298"/>
      <c r="F168" s="298"/>
      <c r="G168" s="298"/>
      <c r="H168" s="298"/>
      <c r="I168" s="298"/>
      <c r="J168" s="299"/>
      <c r="K168" s="266">
        <v>300000</v>
      </c>
      <c r="L168" s="266">
        <v>300000</v>
      </c>
      <c r="M168" s="267"/>
    </row>
    <row r="169" spans="1:23" s="224" customFormat="1" ht="12.75" customHeight="1" x14ac:dyDescent="0.2">
      <c r="A169" s="215">
        <v>42886</v>
      </c>
      <c r="B169" s="215">
        <v>42894</v>
      </c>
      <c r="C169" s="194" t="s">
        <v>126</v>
      </c>
      <c r="D169" s="214" t="s">
        <v>187</v>
      </c>
      <c r="E169" s="215">
        <v>43990</v>
      </c>
      <c r="F169" s="261">
        <v>6.4999999999999997E-3</v>
      </c>
      <c r="G169" s="246"/>
      <c r="H169" s="246"/>
      <c r="I169" s="277">
        <v>6.4999999999999997E-3</v>
      </c>
      <c r="J169" s="247"/>
      <c r="K169" s="191" t="s">
        <v>190</v>
      </c>
      <c r="L169" s="191" t="s">
        <v>190</v>
      </c>
      <c r="M169" s="254"/>
      <c r="N169" s="273"/>
    </row>
    <row r="170" spans="1:23" s="224" customFormat="1" ht="12.75" customHeight="1" x14ac:dyDescent="0.2">
      <c r="A170" s="192"/>
      <c r="B170" s="192"/>
      <c r="C170" s="192"/>
      <c r="D170" s="214"/>
      <c r="E170" s="215"/>
      <c r="F170" s="261"/>
      <c r="G170" s="246"/>
      <c r="H170" s="246"/>
      <c r="I170" s="274"/>
      <c r="J170" s="193"/>
      <c r="K170" s="254">
        <f>40000*121.1758</f>
        <v>4847032</v>
      </c>
      <c r="L170" s="254">
        <f>40000*121.1758</f>
        <v>4847032</v>
      </c>
      <c r="M170" s="263">
        <f>K170/L170</f>
        <v>1</v>
      </c>
      <c r="N170" s="275"/>
      <c r="O170" s="276"/>
    </row>
    <row r="171" spans="1:23" s="224" customFormat="1" ht="12.75" customHeight="1" x14ac:dyDescent="0.2">
      <c r="A171" s="202"/>
      <c r="B171" s="202"/>
      <c r="C171" s="202"/>
      <c r="D171" s="214" t="s">
        <v>188</v>
      </c>
      <c r="E171" s="215">
        <v>44720</v>
      </c>
      <c r="F171" s="261">
        <v>8.8999999999999999E-3</v>
      </c>
      <c r="G171" s="261"/>
      <c r="H171" s="261"/>
      <c r="I171" s="217">
        <v>8.8999999999999999E-3</v>
      </c>
      <c r="J171" s="217"/>
      <c r="K171" s="254" t="s">
        <v>191</v>
      </c>
      <c r="L171" s="254" t="s">
        <v>191</v>
      </c>
      <c r="M171" s="263"/>
      <c r="N171" s="278"/>
      <c r="O171" s="279"/>
      <c r="P171" s="158"/>
      <c r="Q171" s="280"/>
      <c r="R171" s="187"/>
    </row>
    <row r="172" spans="1:23" s="224" customFormat="1" ht="12.75" customHeight="1" x14ac:dyDescent="0.2">
      <c r="A172" s="202"/>
      <c r="B172" s="202"/>
      <c r="C172" s="202"/>
      <c r="D172" s="214"/>
      <c r="E172" s="219"/>
      <c r="F172" s="261"/>
      <c r="G172" s="261"/>
      <c r="H172" s="261"/>
      <c r="I172" s="217"/>
      <c r="J172" s="217"/>
      <c r="K172" s="265">
        <f>50000*121.1758</f>
        <v>6058790</v>
      </c>
      <c r="L172" s="265">
        <f>50000*121.1758</f>
        <v>6058790</v>
      </c>
      <c r="M172" s="263">
        <f>K172/L172</f>
        <v>1</v>
      </c>
      <c r="N172" s="278"/>
      <c r="O172" s="276"/>
      <c r="P172" s="276"/>
      <c r="Q172" s="158"/>
      <c r="W172" s="187"/>
    </row>
    <row r="173" spans="1:23" s="224" customFormat="1" ht="12.75" customHeight="1" x14ac:dyDescent="0.2">
      <c r="A173" s="202"/>
      <c r="B173" s="202"/>
      <c r="C173" s="202"/>
      <c r="D173" s="214" t="s">
        <v>189</v>
      </c>
      <c r="E173" s="215">
        <v>45450</v>
      </c>
      <c r="F173" s="261">
        <v>1.04E-2</v>
      </c>
      <c r="G173" s="261"/>
      <c r="H173" s="261"/>
      <c r="I173" s="217">
        <v>1.04E-2</v>
      </c>
      <c r="J173" s="217"/>
      <c r="K173" s="254" t="s">
        <v>192</v>
      </c>
      <c r="L173" s="254" t="s">
        <v>192</v>
      </c>
      <c r="M173" s="263"/>
      <c r="N173" s="278"/>
      <c r="O173" s="279"/>
      <c r="P173" s="158"/>
      <c r="Q173" s="280"/>
      <c r="R173" s="187"/>
    </row>
    <row r="174" spans="1:23" s="224" customFormat="1" ht="12.75" customHeight="1" x14ac:dyDescent="0.2">
      <c r="A174" s="202"/>
      <c r="B174" s="202"/>
      <c r="C174" s="202"/>
      <c r="D174" s="214"/>
      <c r="E174" s="219"/>
      <c r="F174" s="261"/>
      <c r="G174" s="261"/>
      <c r="H174" s="261"/>
      <c r="I174" s="281"/>
      <c r="J174" s="217"/>
      <c r="K174" s="265">
        <f>10000*121.1758</f>
        <v>1211758</v>
      </c>
      <c r="L174" s="265">
        <f>10000*121.1758</f>
        <v>1211758</v>
      </c>
      <c r="M174" s="263">
        <f>K174/L174</f>
        <v>1</v>
      </c>
      <c r="N174" s="278"/>
      <c r="O174" s="276"/>
      <c r="P174" s="276"/>
      <c r="Q174" s="158"/>
      <c r="W174" s="187"/>
    </row>
    <row r="175" spans="1:23" s="224" customFormat="1" ht="12.75" customHeight="1" x14ac:dyDescent="0.2">
      <c r="A175" s="297" t="s">
        <v>124</v>
      </c>
      <c r="B175" s="298"/>
      <c r="C175" s="298"/>
      <c r="D175" s="298"/>
      <c r="E175" s="298"/>
      <c r="F175" s="298"/>
      <c r="G175" s="298"/>
      <c r="H175" s="298"/>
      <c r="I175" s="307"/>
      <c r="J175" s="299"/>
      <c r="K175" s="266">
        <f>K170+K172+K174</f>
        <v>12117580</v>
      </c>
      <c r="L175" s="266">
        <f>L170+L172+L174</f>
        <v>12117580</v>
      </c>
      <c r="M175" s="263"/>
      <c r="P175" s="282"/>
    </row>
    <row r="176" spans="1:23" s="224" customFormat="1" ht="12.75" customHeight="1" outlineLevel="1" x14ac:dyDescent="0.2">
      <c r="A176" s="215">
        <v>42892</v>
      </c>
      <c r="B176" s="215">
        <v>42894</v>
      </c>
      <c r="C176" s="215" t="s">
        <v>127</v>
      </c>
      <c r="D176" s="259" t="s">
        <v>185</v>
      </c>
      <c r="E176" s="264">
        <v>42985</v>
      </c>
      <c r="F176" s="261" t="s">
        <v>138</v>
      </c>
      <c r="G176" s="261">
        <v>4.8899999999999999E-2</v>
      </c>
      <c r="H176" s="261">
        <v>5.0900000000000001E-2</v>
      </c>
      <c r="I176" s="262">
        <v>4.9529999999999998E-2</v>
      </c>
      <c r="J176" s="262">
        <v>0.05</v>
      </c>
      <c r="K176" s="265">
        <v>5825000</v>
      </c>
      <c r="L176" s="265">
        <v>5000000</v>
      </c>
      <c r="M176" s="263">
        <f t="shared" ref="M176:M180" si="14">K176/L176</f>
        <v>1.165</v>
      </c>
    </row>
    <row r="177" spans="1:13" s="224" customFormat="1" ht="12.75" customHeight="1" outlineLevel="1" x14ac:dyDescent="0.2">
      <c r="A177" s="172"/>
      <c r="B177" s="172"/>
      <c r="C177" s="172"/>
      <c r="D177" s="268" t="s">
        <v>186</v>
      </c>
      <c r="E177" s="264">
        <v>43258</v>
      </c>
      <c r="F177" s="261" t="s">
        <v>138</v>
      </c>
      <c r="G177" s="261">
        <v>5.8000000000000003E-2</v>
      </c>
      <c r="H177" s="261">
        <v>6.1699999999999998E-2</v>
      </c>
      <c r="I177" s="262">
        <v>5.82984E-2</v>
      </c>
      <c r="J177" s="262">
        <v>5.8500000000000003E-2</v>
      </c>
      <c r="K177" s="269">
        <v>8475000</v>
      </c>
      <c r="L177" s="269">
        <v>2550000</v>
      </c>
      <c r="M177" s="263">
        <f t="shared" si="14"/>
        <v>3.3235294117647061</v>
      </c>
    </row>
    <row r="178" spans="1:13" s="224" customFormat="1" ht="12.75" customHeight="1" outlineLevel="1" x14ac:dyDescent="0.2">
      <c r="A178" s="202"/>
      <c r="B178" s="202"/>
      <c r="C178" s="202"/>
      <c r="D178" s="268" t="s">
        <v>35</v>
      </c>
      <c r="E178" s="264">
        <v>44696</v>
      </c>
      <c r="F178" s="261">
        <v>7.0000000000000007E-2</v>
      </c>
      <c r="G178" s="261">
        <v>6.6400000000000001E-2</v>
      </c>
      <c r="H178" s="261">
        <v>6.8000000000000005E-2</v>
      </c>
      <c r="I178" s="262">
        <v>6.6698099999999996E-2</v>
      </c>
      <c r="J178" s="262">
        <v>6.6799999999999998E-2</v>
      </c>
      <c r="K178" s="269">
        <v>6936000</v>
      </c>
      <c r="L178" s="269">
        <v>2200000</v>
      </c>
      <c r="M178" s="263">
        <f t="shared" si="14"/>
        <v>3.1527272727272728</v>
      </c>
    </row>
    <row r="179" spans="1:13" s="224" customFormat="1" ht="12.75" customHeight="1" outlineLevel="1" x14ac:dyDescent="0.2">
      <c r="A179" s="202"/>
      <c r="B179" s="202"/>
      <c r="C179" s="202"/>
      <c r="D179" s="268" t="s">
        <v>43</v>
      </c>
      <c r="E179" s="264">
        <v>46522</v>
      </c>
      <c r="F179" s="261">
        <v>7.0000000000000007E-2</v>
      </c>
      <c r="G179" s="261">
        <v>6.9000000000000006E-2</v>
      </c>
      <c r="H179" s="261">
        <v>7.0499999999999993E-2</v>
      </c>
      <c r="I179" s="262">
        <v>6.9298999999999999E-2</v>
      </c>
      <c r="J179" s="262">
        <v>6.9400000000000003E-2</v>
      </c>
      <c r="K179" s="269">
        <v>6872700</v>
      </c>
      <c r="L179" s="269">
        <v>2050000</v>
      </c>
      <c r="M179" s="263">
        <f t="shared" si="14"/>
        <v>3.3525365853658537</v>
      </c>
    </row>
    <row r="180" spans="1:13" s="224" customFormat="1" ht="12.75" customHeight="1" outlineLevel="1" x14ac:dyDescent="0.2">
      <c r="A180" s="202"/>
      <c r="B180" s="202"/>
      <c r="C180" s="202"/>
      <c r="D180" s="268" t="s">
        <v>140</v>
      </c>
      <c r="E180" s="264">
        <v>48441</v>
      </c>
      <c r="F180" s="261">
        <v>7.4999999999999997E-2</v>
      </c>
      <c r="G180" s="261">
        <v>7.3499999999999996E-2</v>
      </c>
      <c r="H180" s="261">
        <v>7.5200000000000003E-2</v>
      </c>
      <c r="I180" s="261">
        <v>7.3867199999999994E-2</v>
      </c>
      <c r="J180" s="262">
        <v>7.3999999999999996E-2</v>
      </c>
      <c r="K180" s="254">
        <v>5488700</v>
      </c>
      <c r="L180" s="254">
        <v>2200000</v>
      </c>
      <c r="M180" s="263">
        <f t="shared" si="14"/>
        <v>2.4948636363636365</v>
      </c>
    </row>
    <row r="181" spans="1:13" s="224" customFormat="1" ht="12.75" customHeight="1" outlineLevel="1" x14ac:dyDescent="0.2">
      <c r="A181" s="297" t="s">
        <v>124</v>
      </c>
      <c r="B181" s="298"/>
      <c r="C181" s="298"/>
      <c r="D181" s="298"/>
      <c r="E181" s="298"/>
      <c r="F181" s="298"/>
      <c r="G181" s="298"/>
      <c r="H181" s="298"/>
      <c r="I181" s="298"/>
      <c r="J181" s="299"/>
      <c r="K181" s="266">
        <f>SUM(K176:K180)</f>
        <v>33597400</v>
      </c>
      <c r="L181" s="266">
        <f>SUM(L176:L180)</f>
        <v>14000000</v>
      </c>
      <c r="M181" s="267"/>
    </row>
    <row r="182" spans="1:13" s="224" customFormat="1" ht="12.75" customHeight="1" outlineLevel="1" x14ac:dyDescent="0.2">
      <c r="A182" s="215">
        <v>42893</v>
      </c>
      <c r="B182" s="215">
        <v>42895</v>
      </c>
      <c r="C182" s="222" t="s">
        <v>165</v>
      </c>
      <c r="D182" s="214" t="s">
        <v>98</v>
      </c>
      <c r="E182" s="219">
        <v>48714</v>
      </c>
      <c r="F182" s="261">
        <v>6.6250000000000003E-2</v>
      </c>
      <c r="G182" s="261"/>
      <c r="H182" s="261"/>
      <c r="I182" s="217"/>
      <c r="J182" s="217"/>
      <c r="K182" s="266">
        <v>393000</v>
      </c>
      <c r="L182" s="266">
        <v>393000</v>
      </c>
      <c r="M182" s="263">
        <v>1</v>
      </c>
    </row>
    <row r="183" spans="1:13" s="224" customFormat="1" ht="12.75" customHeight="1" outlineLevel="1" x14ac:dyDescent="0.2">
      <c r="A183" s="297" t="s">
        <v>124</v>
      </c>
      <c r="B183" s="298"/>
      <c r="C183" s="298"/>
      <c r="D183" s="298"/>
      <c r="E183" s="298"/>
      <c r="F183" s="298"/>
      <c r="G183" s="298"/>
      <c r="H183" s="298"/>
      <c r="I183" s="298"/>
      <c r="J183" s="299"/>
      <c r="K183" s="266">
        <f>K182</f>
        <v>393000</v>
      </c>
      <c r="L183" s="266">
        <f>L182</f>
        <v>393000</v>
      </c>
      <c r="M183" s="267"/>
    </row>
    <row r="184" spans="1:13" s="224" customFormat="1" ht="12.75" customHeight="1" outlineLevel="1" x14ac:dyDescent="0.2">
      <c r="A184" s="215">
        <v>42899</v>
      </c>
      <c r="B184" s="215">
        <v>42901</v>
      </c>
      <c r="C184" s="215" t="s">
        <v>127</v>
      </c>
      <c r="D184" s="259" t="s">
        <v>183</v>
      </c>
      <c r="E184" s="264">
        <v>43070</v>
      </c>
      <c r="F184" s="261" t="s">
        <v>138</v>
      </c>
      <c r="G184" s="261">
        <v>5.2499999999999998E-2</v>
      </c>
      <c r="H184" s="261">
        <v>7.0000000000000007E-2</v>
      </c>
      <c r="I184" s="262">
        <v>5.3556300000000001E-2</v>
      </c>
      <c r="J184" s="262"/>
      <c r="K184" s="265">
        <v>4935000</v>
      </c>
      <c r="L184" s="265">
        <v>2500000</v>
      </c>
      <c r="M184" s="263">
        <f t="shared" ref="M184:M187" si="15">K184/L184</f>
        <v>1.974</v>
      </c>
    </row>
    <row r="185" spans="1:13" s="224" customFormat="1" ht="12.75" customHeight="1" outlineLevel="1" x14ac:dyDescent="0.2">
      <c r="A185" s="172"/>
      <c r="B185" s="172"/>
      <c r="C185" s="172"/>
      <c r="D185" s="268" t="s">
        <v>150</v>
      </c>
      <c r="E185" s="264">
        <v>43600</v>
      </c>
      <c r="F185" s="261">
        <v>6.25E-2</v>
      </c>
      <c r="G185" s="261">
        <v>6.7812499999999998E-2</v>
      </c>
      <c r="H185" s="261">
        <v>7.03125E-2</v>
      </c>
      <c r="I185" s="262">
        <v>6.8000000000000005E-2</v>
      </c>
      <c r="J185" s="262"/>
      <c r="K185" s="269">
        <v>2270000</v>
      </c>
      <c r="L185" s="269">
        <v>250000</v>
      </c>
      <c r="M185" s="263">
        <f t="shared" si="15"/>
        <v>9.08</v>
      </c>
    </row>
    <row r="186" spans="1:13" s="224" customFormat="1" ht="12.75" customHeight="1" outlineLevel="1" x14ac:dyDescent="0.2">
      <c r="A186" s="202"/>
      <c r="B186" s="202"/>
      <c r="C186" s="202"/>
      <c r="D186" s="268" t="s">
        <v>151</v>
      </c>
      <c r="E186" s="264">
        <v>44331</v>
      </c>
      <c r="F186" s="261">
        <v>6.5000000000000002E-2</v>
      </c>
      <c r="G186" s="261">
        <v>7.03125E-2</v>
      </c>
      <c r="H186" s="261">
        <v>7.2499999999999995E-2</v>
      </c>
      <c r="I186" s="262" t="s">
        <v>194</v>
      </c>
      <c r="J186" s="262"/>
      <c r="K186" s="269">
        <v>340000</v>
      </c>
      <c r="L186" s="269" t="s">
        <v>195</v>
      </c>
      <c r="M186" s="217" t="s">
        <v>195</v>
      </c>
    </row>
    <row r="187" spans="1:13" s="224" customFormat="1" ht="12.75" customHeight="1" outlineLevel="1" x14ac:dyDescent="0.2">
      <c r="A187" s="202"/>
      <c r="B187" s="202"/>
      <c r="C187" s="202"/>
      <c r="D187" s="268" t="s">
        <v>122</v>
      </c>
      <c r="E187" s="264">
        <v>45153</v>
      </c>
      <c r="F187" s="261">
        <v>8.7499999999999994E-2</v>
      </c>
      <c r="G187" s="261">
        <v>7.1874999999999994E-2</v>
      </c>
      <c r="H187" s="261">
        <v>7.3749999999999996E-2</v>
      </c>
      <c r="I187" s="262">
        <v>7.2650000000000006E-2</v>
      </c>
      <c r="J187" s="262"/>
      <c r="K187" s="269">
        <v>312000</v>
      </c>
      <c r="L187" s="269">
        <v>280000</v>
      </c>
      <c r="M187" s="263">
        <f t="shared" si="15"/>
        <v>1.1142857142857143</v>
      </c>
    </row>
    <row r="188" spans="1:13" s="224" customFormat="1" ht="12.75" customHeight="1" outlineLevel="1" x14ac:dyDescent="0.2">
      <c r="A188" s="202"/>
      <c r="B188" s="202"/>
      <c r="C188" s="202"/>
      <c r="D188" s="268" t="s">
        <v>123</v>
      </c>
      <c r="E188" s="264">
        <v>48167</v>
      </c>
      <c r="F188" s="261">
        <v>8.8749999999999996E-2</v>
      </c>
      <c r="G188" s="261">
        <v>7.8750000000000001E-2</v>
      </c>
      <c r="H188" s="261">
        <v>0.08</v>
      </c>
      <c r="I188" s="261" t="s">
        <v>195</v>
      </c>
      <c r="J188" s="262"/>
      <c r="K188" s="254">
        <v>791000</v>
      </c>
      <c r="L188" s="254" t="s">
        <v>195</v>
      </c>
      <c r="M188" s="217" t="s">
        <v>195</v>
      </c>
    </row>
    <row r="189" spans="1:13" s="224" customFormat="1" ht="12.75" customHeight="1" outlineLevel="1" x14ac:dyDescent="0.2">
      <c r="A189" s="297" t="s">
        <v>124</v>
      </c>
      <c r="B189" s="298"/>
      <c r="C189" s="298"/>
      <c r="D189" s="298"/>
      <c r="E189" s="298"/>
      <c r="F189" s="298"/>
      <c r="G189" s="298"/>
      <c r="H189" s="298"/>
      <c r="I189" s="298"/>
      <c r="J189" s="299"/>
      <c r="K189" s="266">
        <f>SUM(K184:K188)</f>
        <v>8648000</v>
      </c>
      <c r="L189" s="266">
        <f>SUM(L184:L188)</f>
        <v>3030000</v>
      </c>
      <c r="M189" s="267"/>
    </row>
    <row r="190" spans="1:13" s="224" customFormat="1" ht="12.75" customHeight="1" outlineLevel="1" x14ac:dyDescent="0.2">
      <c r="A190" s="215">
        <v>42906</v>
      </c>
      <c r="B190" s="215">
        <v>42908</v>
      </c>
      <c r="C190" s="215" t="s">
        <v>127</v>
      </c>
      <c r="D190" s="259" t="s">
        <v>193</v>
      </c>
      <c r="E190" s="264">
        <v>42999</v>
      </c>
      <c r="F190" s="261" t="s">
        <v>138</v>
      </c>
      <c r="G190" s="261">
        <v>4.9399999999999999E-2</v>
      </c>
      <c r="H190" s="261">
        <v>5.0299999999999997E-2</v>
      </c>
      <c r="I190" s="262">
        <v>4.9575099999999997E-2</v>
      </c>
      <c r="J190" s="262">
        <v>4.99E-2</v>
      </c>
      <c r="K190" s="265">
        <v>2992000</v>
      </c>
      <c r="L190" s="265">
        <v>1150000</v>
      </c>
      <c r="M190" s="263">
        <f t="shared" ref="M190:M194" si="16">K190/L190</f>
        <v>2.6017391304347828</v>
      </c>
    </row>
    <row r="191" spans="1:13" s="224" customFormat="1" ht="12.75" customHeight="1" outlineLevel="1" x14ac:dyDescent="0.2">
      <c r="A191" s="172"/>
      <c r="B191" s="172"/>
      <c r="C191" s="172"/>
      <c r="D191" s="268" t="s">
        <v>160</v>
      </c>
      <c r="E191" s="264">
        <v>43160</v>
      </c>
      <c r="F191" s="261" t="s">
        <v>138</v>
      </c>
      <c r="G191" s="261">
        <v>5.5E-2</v>
      </c>
      <c r="H191" s="261">
        <v>6.25E-2</v>
      </c>
      <c r="I191" s="262">
        <v>5.5952200000000001E-2</v>
      </c>
      <c r="J191" s="262">
        <v>5.6500000000000002E-2</v>
      </c>
      <c r="K191" s="269">
        <v>3180000</v>
      </c>
      <c r="L191" s="269">
        <v>900000</v>
      </c>
      <c r="M191" s="263">
        <f t="shared" si="16"/>
        <v>3.5333333333333332</v>
      </c>
    </row>
    <row r="192" spans="1:13" s="224" customFormat="1" ht="12.75" customHeight="1" outlineLevel="1" x14ac:dyDescent="0.2">
      <c r="A192" s="202"/>
      <c r="B192" s="202"/>
      <c r="C192" s="202"/>
      <c r="D192" s="268" t="s">
        <v>35</v>
      </c>
      <c r="E192" s="264">
        <v>44696</v>
      </c>
      <c r="F192" s="261">
        <v>7.0000000000000007E-2</v>
      </c>
      <c r="G192" s="261">
        <v>6.6000000000000003E-2</v>
      </c>
      <c r="H192" s="261">
        <v>6.9000000000000006E-2</v>
      </c>
      <c r="I192" s="262">
        <v>6.6297300000000003E-2</v>
      </c>
      <c r="J192" s="262">
        <v>6.6500000000000004E-2</v>
      </c>
      <c r="K192" s="269">
        <v>5067000</v>
      </c>
      <c r="L192" s="269">
        <v>3550000</v>
      </c>
      <c r="M192" s="263">
        <f t="shared" si="16"/>
        <v>1.4273239436619718</v>
      </c>
    </row>
    <row r="193" spans="1:16" s="224" customFormat="1" ht="12.75" customHeight="1" outlineLevel="1" x14ac:dyDescent="0.2">
      <c r="A193" s="202"/>
      <c r="B193" s="202"/>
      <c r="C193" s="202"/>
      <c r="D193" s="268" t="s">
        <v>140</v>
      </c>
      <c r="E193" s="264">
        <v>48441</v>
      </c>
      <c r="F193" s="261">
        <v>7.4999999999999997E-2</v>
      </c>
      <c r="G193" s="261">
        <v>7.2999999999999995E-2</v>
      </c>
      <c r="H193" s="261">
        <v>7.4300000000000005E-2</v>
      </c>
      <c r="I193" s="262">
        <v>7.3394200000000007E-2</v>
      </c>
      <c r="J193" s="262">
        <v>7.3599999999999999E-2</v>
      </c>
      <c r="K193" s="269">
        <v>5651900</v>
      </c>
      <c r="L193" s="269">
        <v>4600000</v>
      </c>
      <c r="M193" s="263">
        <f t="shared" si="16"/>
        <v>1.2286739130434783</v>
      </c>
    </row>
    <row r="194" spans="1:16" s="224" customFormat="1" ht="12.75" customHeight="1" outlineLevel="1" x14ac:dyDescent="0.2">
      <c r="A194" s="202"/>
      <c r="B194" s="202"/>
      <c r="C194" s="202"/>
      <c r="D194" s="268" t="s">
        <v>121</v>
      </c>
      <c r="E194" s="264">
        <v>49810</v>
      </c>
      <c r="F194" s="261">
        <v>8.2500000000000004E-2</v>
      </c>
      <c r="G194" s="261">
        <v>7.4800000000000005E-2</v>
      </c>
      <c r="H194" s="261">
        <v>7.6999999999999999E-2</v>
      </c>
      <c r="I194" s="261">
        <v>7.5159599999999993E-2</v>
      </c>
      <c r="J194" s="262">
        <v>7.5399999999999995E-2</v>
      </c>
      <c r="K194" s="254">
        <v>5370300</v>
      </c>
      <c r="L194" s="254">
        <v>4450000</v>
      </c>
      <c r="M194" s="263">
        <f t="shared" si="16"/>
        <v>1.206808988764045</v>
      </c>
    </row>
    <row r="195" spans="1:16" s="224" customFormat="1" ht="12.75" customHeight="1" outlineLevel="1" x14ac:dyDescent="0.2">
      <c r="A195" s="297" t="s">
        <v>124</v>
      </c>
      <c r="B195" s="298"/>
      <c r="C195" s="298"/>
      <c r="D195" s="298"/>
      <c r="E195" s="298"/>
      <c r="F195" s="298"/>
      <c r="G195" s="298"/>
      <c r="H195" s="298"/>
      <c r="I195" s="298"/>
      <c r="J195" s="299"/>
      <c r="K195" s="266">
        <f>SUM(K190:K194)</f>
        <v>22261200</v>
      </c>
      <c r="L195" s="266">
        <f>SUM(L190:L194)</f>
        <v>14650000</v>
      </c>
      <c r="M195" s="267"/>
    </row>
    <row r="196" spans="1:16" s="223" customFormat="1" ht="12.75" customHeight="1" x14ac:dyDescent="0.2">
      <c r="A196" s="300" t="s">
        <v>206</v>
      </c>
      <c r="B196" s="301"/>
      <c r="C196" s="301"/>
      <c r="D196" s="301"/>
      <c r="E196" s="301"/>
      <c r="F196" s="301"/>
      <c r="G196" s="301"/>
      <c r="H196" s="301"/>
      <c r="I196" s="301"/>
      <c r="J196" s="302"/>
      <c r="K196" s="258">
        <f>SUM(K166,K168,K175,K181,K183,K189,K195)</f>
        <v>88385180</v>
      </c>
      <c r="L196" s="258">
        <f>SUM(L166,L168,L175,L181,L183,L189,L195)</f>
        <v>48570580</v>
      </c>
      <c r="M196" s="255"/>
      <c r="O196" s="253"/>
      <c r="P196" s="251"/>
    </row>
    <row r="197" spans="1:16" s="223" customFormat="1" ht="12.75" customHeight="1" x14ac:dyDescent="0.2">
      <c r="A197" s="300" t="s">
        <v>205</v>
      </c>
      <c r="B197" s="301"/>
      <c r="C197" s="301"/>
      <c r="D197" s="301"/>
      <c r="E197" s="301"/>
      <c r="F197" s="301"/>
      <c r="G197" s="301"/>
      <c r="H197" s="301"/>
      <c r="I197" s="301"/>
      <c r="J197" s="302"/>
      <c r="K197" s="258">
        <f>SUM(K160,K166,K168,K175,K181,K183,K189,K195)</f>
        <v>994794715.00999999</v>
      </c>
      <c r="L197" s="258">
        <f>SUM(L160,L166,L168,L175,L181,L183,L189,L195)</f>
        <v>395093355.25</v>
      </c>
      <c r="M197" s="255"/>
      <c r="O197" s="253"/>
      <c r="P197" s="251"/>
    </row>
    <row r="198" spans="1:16" s="224" customFormat="1" ht="12.75" customHeight="1" outlineLevel="1" x14ac:dyDescent="0.2">
      <c r="A198" s="215">
        <v>42920</v>
      </c>
      <c r="B198" s="215">
        <v>42922</v>
      </c>
      <c r="C198" s="215" t="s">
        <v>127</v>
      </c>
      <c r="D198" s="259" t="s">
        <v>196</v>
      </c>
      <c r="E198" s="264">
        <v>43105</v>
      </c>
      <c r="F198" s="261" t="s">
        <v>138</v>
      </c>
      <c r="G198" s="261">
        <v>5.4062499999999999E-2</v>
      </c>
      <c r="H198" s="261">
        <v>0.06</v>
      </c>
      <c r="I198" s="262">
        <v>5.5181800000000003E-2</v>
      </c>
      <c r="J198" s="262"/>
      <c r="K198" s="265">
        <v>3537300</v>
      </c>
      <c r="L198" s="265">
        <v>870000</v>
      </c>
      <c r="M198" s="263">
        <f t="shared" ref="M198:M199" si="17">K198/L198</f>
        <v>4.0658620689655169</v>
      </c>
    </row>
    <row r="199" spans="1:16" s="224" customFormat="1" ht="12.75" customHeight="1" outlineLevel="1" x14ac:dyDescent="0.2">
      <c r="A199" s="172"/>
      <c r="B199" s="172"/>
      <c r="C199" s="172"/>
      <c r="D199" s="268" t="s">
        <v>150</v>
      </c>
      <c r="E199" s="264">
        <v>43600</v>
      </c>
      <c r="F199" s="261">
        <v>6.25E-2</v>
      </c>
      <c r="G199" s="261">
        <v>6.7812499999999998E-2</v>
      </c>
      <c r="H199" s="261">
        <v>7.2187500000000002E-2</v>
      </c>
      <c r="I199" s="262">
        <v>6.8593799999999996E-2</v>
      </c>
      <c r="J199" s="262"/>
      <c r="K199" s="269">
        <v>2145000</v>
      </c>
      <c r="L199" s="269">
        <v>260000</v>
      </c>
      <c r="M199" s="263">
        <f t="shared" si="17"/>
        <v>8.25</v>
      </c>
    </row>
    <row r="200" spans="1:16" s="224" customFormat="1" ht="12.75" customHeight="1" outlineLevel="1" x14ac:dyDescent="0.2">
      <c r="A200" s="202"/>
      <c r="B200" s="202"/>
      <c r="C200" s="202"/>
      <c r="D200" s="268" t="s">
        <v>151</v>
      </c>
      <c r="E200" s="264">
        <v>44331</v>
      </c>
      <c r="F200" s="261">
        <v>6.5000000000000002E-2</v>
      </c>
      <c r="G200" s="261">
        <v>7.03125E-2</v>
      </c>
      <c r="H200" s="261">
        <v>7.4374999999999997E-2</v>
      </c>
      <c r="I200" s="262">
        <v>7.0995900000000001E-2</v>
      </c>
      <c r="J200" s="262"/>
      <c r="K200" s="269">
        <v>889000</v>
      </c>
      <c r="L200" s="269">
        <v>535000</v>
      </c>
      <c r="M200" s="263">
        <f t="shared" ref="M200" si="18">K200/L200</f>
        <v>1.6616822429906541</v>
      </c>
    </row>
    <row r="201" spans="1:16" s="224" customFormat="1" ht="12.75" customHeight="1" outlineLevel="1" x14ac:dyDescent="0.2">
      <c r="A201" s="202"/>
      <c r="B201" s="202"/>
      <c r="C201" s="202"/>
      <c r="D201" s="268" t="s">
        <v>122</v>
      </c>
      <c r="E201" s="264">
        <v>45153</v>
      </c>
      <c r="F201" s="261">
        <v>8.7499999999999994E-2</v>
      </c>
      <c r="G201" s="261">
        <v>7.2499999999999995E-2</v>
      </c>
      <c r="H201" s="261">
        <v>7.7499999999999999E-2</v>
      </c>
      <c r="I201" s="261" t="s">
        <v>195</v>
      </c>
      <c r="J201" s="262"/>
      <c r="K201" s="269">
        <v>328000</v>
      </c>
      <c r="L201" s="254" t="s">
        <v>195</v>
      </c>
      <c r="M201" s="263" t="s">
        <v>195</v>
      </c>
    </row>
    <row r="202" spans="1:16" s="224" customFormat="1" ht="12.75" customHeight="1" outlineLevel="1" x14ac:dyDescent="0.2">
      <c r="A202" s="202"/>
      <c r="B202" s="202"/>
      <c r="C202" s="202"/>
      <c r="D202" s="268" t="s">
        <v>123</v>
      </c>
      <c r="E202" s="264">
        <v>48167</v>
      </c>
      <c r="F202" s="261">
        <v>8.8749999999999996E-2</v>
      </c>
      <c r="G202" s="261">
        <v>7.8437499999999993E-2</v>
      </c>
      <c r="H202" s="261">
        <v>8.0625000000000002E-2</v>
      </c>
      <c r="I202" s="261" t="s">
        <v>195</v>
      </c>
      <c r="J202" s="262"/>
      <c r="K202" s="254">
        <v>920000</v>
      </c>
      <c r="L202" s="254" t="s">
        <v>195</v>
      </c>
      <c r="M202" s="217" t="s">
        <v>195</v>
      </c>
    </row>
    <row r="203" spans="1:16" s="224" customFormat="1" ht="12.75" customHeight="1" outlineLevel="1" x14ac:dyDescent="0.2">
      <c r="A203" s="297" t="s">
        <v>124</v>
      </c>
      <c r="B203" s="298"/>
      <c r="C203" s="298"/>
      <c r="D203" s="298"/>
      <c r="E203" s="298"/>
      <c r="F203" s="298"/>
      <c r="G203" s="298"/>
      <c r="H203" s="298"/>
      <c r="I203" s="298"/>
      <c r="J203" s="299"/>
      <c r="K203" s="266">
        <f>SUM(K198:K202)</f>
        <v>7819300</v>
      </c>
      <c r="L203" s="266">
        <f>SUM(L198:L202)</f>
        <v>1665000</v>
      </c>
      <c r="M203" s="267"/>
    </row>
    <row r="204" spans="1:16" s="224" customFormat="1" ht="12.75" customHeight="1" outlineLevel="1" x14ac:dyDescent="0.2">
      <c r="A204" s="215">
        <v>42927</v>
      </c>
      <c r="B204" s="215">
        <v>42929</v>
      </c>
      <c r="C204" s="215" t="s">
        <v>127</v>
      </c>
      <c r="D204" s="259" t="s">
        <v>197</v>
      </c>
      <c r="E204" s="264">
        <v>43020</v>
      </c>
      <c r="F204" s="261" t="s">
        <v>138</v>
      </c>
      <c r="G204" s="261">
        <v>0.05</v>
      </c>
      <c r="H204" s="261">
        <v>5.3999999999999999E-2</v>
      </c>
      <c r="I204" s="262">
        <v>5.0846000000000002E-2</v>
      </c>
      <c r="J204" s="262">
        <v>5.1499999999999997E-2</v>
      </c>
      <c r="K204" s="265">
        <f>4370000000000/1000000</f>
        <v>4370000</v>
      </c>
      <c r="L204" s="265">
        <v>3150000</v>
      </c>
      <c r="M204" s="263">
        <f>K204/L204</f>
        <v>1.3873015873015873</v>
      </c>
    </row>
    <row r="205" spans="1:16" s="224" customFormat="1" ht="12.75" customHeight="1" outlineLevel="1" x14ac:dyDescent="0.2">
      <c r="A205" s="172"/>
      <c r="B205" s="172"/>
      <c r="C205" s="172"/>
      <c r="D205" s="268" t="s">
        <v>198</v>
      </c>
      <c r="E205" s="264">
        <v>43293</v>
      </c>
      <c r="F205" s="261" t="s">
        <v>138</v>
      </c>
      <c r="G205" s="261">
        <v>5.8999999999999997E-2</v>
      </c>
      <c r="H205" s="261">
        <v>6.5000000000000002E-2</v>
      </c>
      <c r="I205" s="262">
        <v>5.9485000000000003E-2</v>
      </c>
      <c r="J205" s="262">
        <v>5.9900000000000002E-2</v>
      </c>
      <c r="K205" s="265">
        <f>7170000000000/1000000</f>
        <v>7170000</v>
      </c>
      <c r="L205" s="269">
        <v>3100000</v>
      </c>
      <c r="M205" s="263">
        <f>K205/L205</f>
        <v>2.3129032258064517</v>
      </c>
    </row>
    <row r="206" spans="1:16" s="224" customFormat="1" ht="12.75" customHeight="1" outlineLevel="1" x14ac:dyDescent="0.2">
      <c r="A206" s="202"/>
      <c r="B206" s="202"/>
      <c r="C206" s="202"/>
      <c r="D206" s="268" t="s">
        <v>35</v>
      </c>
      <c r="E206" s="264">
        <v>44696</v>
      </c>
      <c r="F206" s="261">
        <v>7.0000000000000007E-2</v>
      </c>
      <c r="G206" s="261">
        <v>6.9199999999999998E-2</v>
      </c>
      <c r="H206" s="261">
        <v>7.2599999999999998E-2</v>
      </c>
      <c r="I206" s="262">
        <v>6.9698800000000005E-2</v>
      </c>
      <c r="J206" s="262">
        <v>6.9900000000000004E-2</v>
      </c>
      <c r="K206" s="265">
        <f>6719900000000/1000000</f>
        <v>6719900</v>
      </c>
      <c r="L206" s="269">
        <v>3900000</v>
      </c>
      <c r="M206" s="263">
        <f>K206/L206</f>
        <v>1.723051282051282</v>
      </c>
    </row>
    <row r="207" spans="1:16" s="224" customFormat="1" ht="12.75" customHeight="1" outlineLevel="1" x14ac:dyDescent="0.2">
      <c r="A207" s="202"/>
      <c r="B207" s="202"/>
      <c r="C207" s="202"/>
      <c r="D207" s="268" t="s">
        <v>43</v>
      </c>
      <c r="E207" s="264">
        <v>46522</v>
      </c>
      <c r="F207" s="261">
        <v>7.0000000000000007E-2</v>
      </c>
      <c r="G207" s="261">
        <v>7.0900000000000005E-2</v>
      </c>
      <c r="H207" s="261">
        <v>7.3999999999999996E-2</v>
      </c>
      <c r="I207" s="262">
        <v>7.1399000000000004E-2</v>
      </c>
      <c r="J207" s="262">
        <v>7.1499999999999994E-2</v>
      </c>
      <c r="K207" s="265">
        <f>7496100000000/1000000</f>
        <v>7496100</v>
      </c>
      <c r="L207" s="269">
        <v>2600000</v>
      </c>
      <c r="M207" s="263">
        <f>K207/L207</f>
        <v>2.8831153846153845</v>
      </c>
    </row>
    <row r="208" spans="1:16" s="224" customFormat="1" ht="12.75" customHeight="1" outlineLevel="1" x14ac:dyDescent="0.2">
      <c r="A208" s="202"/>
      <c r="B208" s="202"/>
      <c r="C208" s="202"/>
      <c r="D208" s="268" t="s">
        <v>121</v>
      </c>
      <c r="E208" s="264">
        <v>49810</v>
      </c>
      <c r="F208" s="261">
        <v>8.2500000000000004E-2</v>
      </c>
      <c r="G208" s="261">
        <v>7.9699999999999993E-2</v>
      </c>
      <c r="H208" s="261">
        <v>8.09E-2</v>
      </c>
      <c r="I208" s="261">
        <v>8.0064999999999997E-2</v>
      </c>
      <c r="J208" s="262">
        <v>8.0199999999999994E-2</v>
      </c>
      <c r="K208" s="265">
        <f>7926600000000/1000000</f>
        <v>7926600</v>
      </c>
      <c r="L208" s="254">
        <v>4250000</v>
      </c>
      <c r="M208" s="263">
        <f>K208/L208</f>
        <v>1.8650823529411764</v>
      </c>
    </row>
    <row r="209" spans="1:23" s="224" customFormat="1" ht="12.75" customHeight="1" outlineLevel="1" x14ac:dyDescent="0.2">
      <c r="A209" s="297" t="s">
        <v>124</v>
      </c>
      <c r="B209" s="298"/>
      <c r="C209" s="298"/>
      <c r="D209" s="298"/>
      <c r="E209" s="298"/>
      <c r="F209" s="298"/>
      <c r="G209" s="298"/>
      <c r="H209" s="298"/>
      <c r="I209" s="298"/>
      <c r="J209" s="299"/>
      <c r="K209" s="266">
        <f>SUM(K204:K208)</f>
        <v>33682600</v>
      </c>
      <c r="L209" s="266">
        <f>SUM(L204:L208)</f>
        <v>17000000</v>
      </c>
      <c r="M209" s="267"/>
    </row>
    <row r="210" spans="1:23" s="224" customFormat="1" ht="12.75" customHeight="1" x14ac:dyDescent="0.2">
      <c r="A210" s="215">
        <v>42927</v>
      </c>
      <c r="B210" s="215">
        <v>42934</v>
      </c>
      <c r="C210" s="194" t="s">
        <v>126</v>
      </c>
      <c r="D210" s="214" t="s">
        <v>219</v>
      </c>
      <c r="E210" s="215">
        <v>45491</v>
      </c>
      <c r="F210" s="261">
        <v>2.1499999999999998E-2</v>
      </c>
      <c r="G210" s="246"/>
      <c r="H210" s="246"/>
      <c r="I210" s="277">
        <v>2.1499999999999998E-2</v>
      </c>
      <c r="J210" s="247"/>
      <c r="K210" s="191" t="s">
        <v>222</v>
      </c>
      <c r="L210" s="191" t="s">
        <v>222</v>
      </c>
      <c r="M210" s="254"/>
      <c r="N210" s="273"/>
    </row>
    <row r="211" spans="1:23" s="224" customFormat="1" ht="12.75" customHeight="1" x14ac:dyDescent="0.2">
      <c r="A211" s="192"/>
      <c r="B211" s="192"/>
      <c r="C211" s="192"/>
      <c r="D211" s="214"/>
      <c r="E211" s="215"/>
      <c r="F211" s="261"/>
      <c r="G211" s="246"/>
      <c r="H211" s="246"/>
      <c r="I211" s="274"/>
      <c r="J211" s="193"/>
      <c r="K211" s="254">
        <f>1000*15352.39</f>
        <v>15352390</v>
      </c>
      <c r="L211" s="254">
        <f>1000*15352.39</f>
        <v>15352390</v>
      </c>
      <c r="M211" s="263">
        <f>K211/L211</f>
        <v>1</v>
      </c>
      <c r="N211" s="275"/>
      <c r="O211" s="276"/>
    </row>
    <row r="212" spans="1:23" s="224" customFormat="1" ht="12.75" customHeight="1" x14ac:dyDescent="0.2">
      <c r="A212" s="202"/>
      <c r="B212" s="202"/>
      <c r="C212" s="202"/>
      <c r="D212" s="214" t="s">
        <v>220</v>
      </c>
      <c r="E212" s="215">
        <v>46586</v>
      </c>
      <c r="F212" s="261">
        <v>4.3499999999999997E-2</v>
      </c>
      <c r="G212" s="261"/>
      <c r="H212" s="261"/>
      <c r="I212" s="217">
        <v>4.3499999999999997E-2</v>
      </c>
      <c r="J212" s="217"/>
      <c r="K212" s="254" t="s">
        <v>117</v>
      </c>
      <c r="L212" s="254" t="s">
        <v>117</v>
      </c>
      <c r="M212" s="263"/>
      <c r="N212" s="278"/>
      <c r="O212" s="279"/>
      <c r="P212" s="158"/>
      <c r="Q212" s="280"/>
      <c r="R212" s="187"/>
    </row>
    <row r="213" spans="1:23" s="224" customFormat="1" ht="12.75" customHeight="1" x14ac:dyDescent="0.2">
      <c r="A213" s="202"/>
      <c r="B213" s="202"/>
      <c r="C213" s="202"/>
      <c r="D213" s="214"/>
      <c r="E213" s="219"/>
      <c r="F213" s="261"/>
      <c r="G213" s="261"/>
      <c r="H213" s="261"/>
      <c r="I213" s="217"/>
      <c r="J213" s="217"/>
      <c r="K213" s="265">
        <f>1000*13314</f>
        <v>13314000</v>
      </c>
      <c r="L213" s="265">
        <f>1000*13314</f>
        <v>13314000</v>
      </c>
      <c r="M213" s="263">
        <f>K213/L213</f>
        <v>1</v>
      </c>
      <c r="N213" s="278"/>
      <c r="O213" s="276"/>
      <c r="P213" s="276"/>
      <c r="Q213" s="158"/>
      <c r="W213" s="187"/>
    </row>
    <row r="214" spans="1:23" s="224" customFormat="1" ht="12.75" customHeight="1" x14ac:dyDescent="0.2">
      <c r="A214" s="202"/>
      <c r="B214" s="202"/>
      <c r="C214" s="202"/>
      <c r="D214" s="214" t="s">
        <v>221</v>
      </c>
      <c r="E214" s="215">
        <v>53891</v>
      </c>
      <c r="F214" s="261">
        <v>5.2499999999999998E-2</v>
      </c>
      <c r="G214" s="261"/>
      <c r="H214" s="261"/>
      <c r="I214" s="217">
        <v>5.2499999999999998E-2</v>
      </c>
      <c r="J214" s="217"/>
      <c r="K214" s="254" t="s">
        <v>117</v>
      </c>
      <c r="L214" s="254" t="s">
        <v>117</v>
      </c>
      <c r="M214" s="263"/>
      <c r="N214" s="278"/>
      <c r="O214" s="279"/>
      <c r="P214" s="158"/>
      <c r="Q214" s="280"/>
      <c r="R214" s="187"/>
    </row>
    <row r="215" spans="1:23" s="224" customFormat="1" ht="12.75" customHeight="1" x14ac:dyDescent="0.2">
      <c r="A215" s="202"/>
      <c r="B215" s="202"/>
      <c r="C215" s="202"/>
      <c r="D215" s="214"/>
      <c r="E215" s="219"/>
      <c r="F215" s="261"/>
      <c r="G215" s="261"/>
      <c r="H215" s="261"/>
      <c r="I215" s="281"/>
      <c r="J215" s="217"/>
      <c r="K215" s="265">
        <f>1000*13314</f>
        <v>13314000</v>
      </c>
      <c r="L215" s="265">
        <f>1000*13314</f>
        <v>13314000</v>
      </c>
      <c r="M215" s="263">
        <f>K215/L215</f>
        <v>1</v>
      </c>
      <c r="N215" s="278"/>
      <c r="O215" s="276"/>
      <c r="P215" s="276"/>
      <c r="Q215" s="158"/>
      <c r="W215" s="187"/>
    </row>
    <row r="216" spans="1:23" s="224" customFormat="1" ht="12.75" customHeight="1" x14ac:dyDescent="0.2">
      <c r="A216" s="297" t="s">
        <v>124</v>
      </c>
      <c r="B216" s="298"/>
      <c r="C216" s="298"/>
      <c r="D216" s="298"/>
      <c r="E216" s="298"/>
      <c r="F216" s="298"/>
      <c r="G216" s="298"/>
      <c r="H216" s="298"/>
      <c r="I216" s="307"/>
      <c r="J216" s="299"/>
      <c r="K216" s="266">
        <f>K211+K213+K215</f>
        <v>41980390</v>
      </c>
      <c r="L216" s="266">
        <f>L211+L213+L215</f>
        <v>41980390</v>
      </c>
      <c r="M216" s="263"/>
      <c r="P216" s="282"/>
    </row>
    <row r="217" spans="1:23" s="224" customFormat="1" ht="12.75" customHeight="1" outlineLevel="1" x14ac:dyDescent="0.2">
      <c r="A217" s="215">
        <v>42934</v>
      </c>
      <c r="B217" s="215">
        <v>42936</v>
      </c>
      <c r="C217" s="215" t="s">
        <v>127</v>
      </c>
      <c r="D217" s="259" t="s">
        <v>196</v>
      </c>
      <c r="E217" s="264">
        <v>43105</v>
      </c>
      <c r="F217" s="261" t="s">
        <v>138</v>
      </c>
      <c r="G217" s="261">
        <v>5.46875E-2</v>
      </c>
      <c r="H217" s="261">
        <v>6.5000000000000002E-2</v>
      </c>
      <c r="I217" s="262">
        <v>5.4984400000000003E-2</v>
      </c>
      <c r="J217" s="262"/>
      <c r="K217" s="265">
        <v>5356000</v>
      </c>
      <c r="L217" s="265">
        <v>2000000</v>
      </c>
      <c r="M217" s="263">
        <f t="shared" ref="M217:M220" si="19">K217/L217</f>
        <v>2.6779999999999999</v>
      </c>
    </row>
    <row r="218" spans="1:23" s="224" customFormat="1" ht="12.75" customHeight="1" outlineLevel="1" x14ac:dyDescent="0.2">
      <c r="A218" s="172"/>
      <c r="B218" s="172"/>
      <c r="C218" s="172"/>
      <c r="D218" s="268" t="s">
        <v>150</v>
      </c>
      <c r="E218" s="264">
        <v>43600</v>
      </c>
      <c r="F218" s="261">
        <v>6.25E-2</v>
      </c>
      <c r="G218" s="261">
        <v>6.7812499999999998E-2</v>
      </c>
      <c r="H218" s="261">
        <v>7.1249999999999994E-2</v>
      </c>
      <c r="I218" s="262">
        <v>6.8338300000000005E-2</v>
      </c>
      <c r="J218" s="262"/>
      <c r="K218" s="269">
        <v>6675100</v>
      </c>
      <c r="L218" s="269">
        <v>3100000</v>
      </c>
      <c r="M218" s="263">
        <f t="shared" si="19"/>
        <v>2.153258064516129</v>
      </c>
    </row>
    <row r="219" spans="1:23" s="224" customFormat="1" ht="12.75" customHeight="1" outlineLevel="1" x14ac:dyDescent="0.2">
      <c r="A219" s="202"/>
      <c r="B219" s="202"/>
      <c r="C219" s="202"/>
      <c r="D219" s="268" t="s">
        <v>151</v>
      </c>
      <c r="E219" s="264">
        <v>44331</v>
      </c>
      <c r="F219" s="261">
        <v>6.5000000000000002E-2</v>
      </c>
      <c r="G219" s="261">
        <v>7.03125E-2</v>
      </c>
      <c r="H219" s="261">
        <v>7.4999999999999997E-2</v>
      </c>
      <c r="I219" s="262">
        <v>7.1736599999999998E-2</v>
      </c>
      <c r="J219" s="262"/>
      <c r="K219" s="269">
        <v>1581500</v>
      </c>
      <c r="L219" s="269">
        <v>1320000</v>
      </c>
      <c r="M219" s="263">
        <f t="shared" si="19"/>
        <v>1.1981060606060605</v>
      </c>
    </row>
    <row r="220" spans="1:23" s="224" customFormat="1" ht="12.75" customHeight="1" outlineLevel="1" x14ac:dyDescent="0.2">
      <c r="A220" s="202"/>
      <c r="B220" s="202"/>
      <c r="C220" s="202"/>
      <c r="D220" s="268" t="s">
        <v>122</v>
      </c>
      <c r="E220" s="264">
        <v>45153</v>
      </c>
      <c r="F220" s="261">
        <v>8.7499999999999994E-2</v>
      </c>
      <c r="G220" s="261">
        <v>7.2812500000000002E-2</v>
      </c>
      <c r="H220" s="261">
        <v>7.4999999999999997E-2</v>
      </c>
      <c r="I220" s="261">
        <v>7.3189900000000002E-2</v>
      </c>
      <c r="J220" s="262"/>
      <c r="K220" s="269">
        <v>704000</v>
      </c>
      <c r="L220" s="254">
        <v>110000</v>
      </c>
      <c r="M220" s="263">
        <f t="shared" si="19"/>
        <v>6.4</v>
      </c>
    </row>
    <row r="221" spans="1:23" s="224" customFormat="1" ht="12.75" customHeight="1" outlineLevel="1" x14ac:dyDescent="0.2">
      <c r="A221" s="202"/>
      <c r="B221" s="202"/>
      <c r="C221" s="202"/>
      <c r="D221" s="268" t="s">
        <v>123</v>
      </c>
      <c r="E221" s="264">
        <v>48167</v>
      </c>
      <c r="F221" s="261">
        <v>8.8749999999999996E-2</v>
      </c>
      <c r="G221" s="261">
        <v>7.8125E-2</v>
      </c>
      <c r="H221" s="261">
        <v>8.0312499999999995E-2</v>
      </c>
      <c r="I221" s="261">
        <v>7.9095399999999996E-2</v>
      </c>
      <c r="J221" s="262"/>
      <c r="K221" s="254">
        <v>1072000</v>
      </c>
      <c r="L221" s="254">
        <v>590000</v>
      </c>
      <c r="M221" s="263">
        <f>K221/L221</f>
        <v>1.8169491525423729</v>
      </c>
    </row>
    <row r="222" spans="1:23" s="224" customFormat="1" ht="12.75" customHeight="1" outlineLevel="1" x14ac:dyDescent="0.2">
      <c r="A222" s="297" t="s">
        <v>124</v>
      </c>
      <c r="B222" s="298"/>
      <c r="C222" s="298"/>
      <c r="D222" s="298"/>
      <c r="E222" s="298"/>
      <c r="F222" s="298"/>
      <c r="G222" s="298"/>
      <c r="H222" s="298"/>
      <c r="I222" s="298"/>
      <c r="J222" s="299"/>
      <c r="K222" s="266">
        <f>SUM(K217:K221)</f>
        <v>15388600</v>
      </c>
      <c r="L222" s="266">
        <f>SUM(L217:L221)</f>
        <v>7120000</v>
      </c>
      <c r="M222" s="267"/>
    </row>
    <row r="223" spans="1:23" s="224" customFormat="1" ht="12.75" customHeight="1" outlineLevel="1" x14ac:dyDescent="0.2">
      <c r="A223" s="215">
        <v>42934</v>
      </c>
      <c r="B223" s="215">
        <v>42936</v>
      </c>
      <c r="C223" s="222" t="s">
        <v>165</v>
      </c>
      <c r="D223" s="214" t="s">
        <v>199</v>
      </c>
      <c r="E223" s="219">
        <v>52336</v>
      </c>
      <c r="F223" s="261">
        <v>6.7500000000000004E-2</v>
      </c>
      <c r="G223" s="261"/>
      <c r="H223" s="261"/>
      <c r="I223" s="217"/>
      <c r="J223" s="217"/>
      <c r="K223" s="266">
        <v>300000</v>
      </c>
      <c r="L223" s="266">
        <v>300000</v>
      </c>
      <c r="M223" s="263">
        <v>1</v>
      </c>
    </row>
    <row r="224" spans="1:23" s="224" customFormat="1" ht="12.75" customHeight="1" outlineLevel="1" x14ac:dyDescent="0.2">
      <c r="A224" s="297" t="s">
        <v>124</v>
      </c>
      <c r="B224" s="298"/>
      <c r="C224" s="298"/>
      <c r="D224" s="298"/>
      <c r="E224" s="298"/>
      <c r="F224" s="298"/>
      <c r="G224" s="298"/>
      <c r="H224" s="298"/>
      <c r="I224" s="298"/>
      <c r="J224" s="299"/>
      <c r="K224" s="266">
        <f>K223</f>
        <v>300000</v>
      </c>
      <c r="L224" s="266">
        <f>L223</f>
        <v>300000</v>
      </c>
      <c r="M224" s="267"/>
    </row>
    <row r="225" spans="1:16" s="224" customFormat="1" ht="12.75" customHeight="1" outlineLevel="1" x14ac:dyDescent="0.2">
      <c r="A225" s="215">
        <v>42935</v>
      </c>
      <c r="B225" s="215">
        <v>42937</v>
      </c>
      <c r="C225" s="222" t="s">
        <v>165</v>
      </c>
      <c r="D225" s="214" t="s">
        <v>200</v>
      </c>
      <c r="E225" s="219">
        <v>53888</v>
      </c>
      <c r="F225" s="261">
        <v>0.08</v>
      </c>
      <c r="G225" s="261"/>
      <c r="H225" s="261"/>
      <c r="I225" s="217"/>
      <c r="J225" s="217"/>
      <c r="K225" s="266">
        <v>250000</v>
      </c>
      <c r="L225" s="266">
        <v>250000</v>
      </c>
      <c r="M225" s="263">
        <v>1</v>
      </c>
    </row>
    <row r="226" spans="1:16" s="224" customFormat="1" ht="12.75" customHeight="1" outlineLevel="1" x14ac:dyDescent="0.2">
      <c r="A226" s="297" t="s">
        <v>124</v>
      </c>
      <c r="B226" s="298"/>
      <c r="C226" s="298"/>
      <c r="D226" s="298"/>
      <c r="E226" s="298"/>
      <c r="F226" s="298"/>
      <c r="G226" s="298"/>
      <c r="H226" s="298"/>
      <c r="I226" s="298"/>
      <c r="J226" s="299"/>
      <c r="K226" s="266">
        <f>K225</f>
        <v>250000</v>
      </c>
      <c r="L226" s="266">
        <f>L225</f>
        <v>250000</v>
      </c>
      <c r="M226" s="267"/>
    </row>
    <row r="227" spans="1:16" s="224" customFormat="1" ht="12.75" customHeight="1" outlineLevel="1" x14ac:dyDescent="0.2">
      <c r="A227" s="215">
        <v>42941</v>
      </c>
      <c r="B227" s="215">
        <v>42943</v>
      </c>
      <c r="C227" s="215" t="s">
        <v>127</v>
      </c>
      <c r="D227" s="259" t="s">
        <v>217</v>
      </c>
      <c r="E227" s="264">
        <v>43034</v>
      </c>
      <c r="F227" s="261" t="s">
        <v>194</v>
      </c>
      <c r="G227" s="261">
        <v>4.8500000000000001E-2</v>
      </c>
      <c r="H227" s="261">
        <v>5.1999999999999998E-2</v>
      </c>
      <c r="I227" s="262">
        <v>5.0298000000000002E-2</v>
      </c>
      <c r="J227" s="262">
        <v>5.1200000000000002E-2</v>
      </c>
      <c r="K227" s="265">
        <f>5850000000000/1000000</f>
        <v>5850000</v>
      </c>
      <c r="L227" s="265">
        <v>5000000</v>
      </c>
      <c r="M227" s="263">
        <f>K227/L227</f>
        <v>1.17</v>
      </c>
    </row>
    <row r="228" spans="1:16" s="224" customFormat="1" ht="12.75" customHeight="1" outlineLevel="1" x14ac:dyDescent="0.2">
      <c r="A228" s="172"/>
      <c r="B228" s="172"/>
      <c r="C228" s="172"/>
      <c r="D228" s="268" t="s">
        <v>218</v>
      </c>
      <c r="E228" s="264">
        <v>43202</v>
      </c>
      <c r="F228" s="261" t="s">
        <v>194</v>
      </c>
      <c r="G228" s="261">
        <v>5.6000000000000001E-2</v>
      </c>
      <c r="H228" s="261">
        <v>5.8999999999999997E-2</v>
      </c>
      <c r="I228" s="262">
        <v>5.6990199999999998E-2</v>
      </c>
      <c r="J228" s="262">
        <v>5.74E-2</v>
      </c>
      <c r="K228" s="265">
        <f>6650000000000/1000000</f>
        <v>6650000</v>
      </c>
      <c r="L228" s="269">
        <v>3050000</v>
      </c>
      <c r="M228" s="263">
        <f>K228/L228</f>
        <v>2.180327868852459</v>
      </c>
    </row>
    <row r="229" spans="1:16" s="224" customFormat="1" ht="12.75" customHeight="1" outlineLevel="1" x14ac:dyDescent="0.2">
      <c r="A229" s="202"/>
      <c r="B229" s="202"/>
      <c r="C229" s="202"/>
      <c r="D229" s="268" t="s">
        <v>35</v>
      </c>
      <c r="E229" s="264">
        <v>44696</v>
      </c>
      <c r="F229" s="261">
        <v>7.0000000000000007E-2</v>
      </c>
      <c r="G229" s="261">
        <v>6.7000000000000004E-2</v>
      </c>
      <c r="H229" s="261">
        <v>6.9000000000000006E-2</v>
      </c>
      <c r="I229" s="262">
        <v>6.7395499999999997E-2</v>
      </c>
      <c r="J229" s="262">
        <v>6.7699999999999996E-2</v>
      </c>
      <c r="K229" s="265">
        <f>8673700000000/1000000</f>
        <v>8673700</v>
      </c>
      <c r="L229" s="269">
        <v>3500000</v>
      </c>
      <c r="M229" s="263">
        <f>K229/L229</f>
        <v>2.4782000000000002</v>
      </c>
    </row>
    <row r="230" spans="1:16" s="224" customFormat="1" ht="12.75" customHeight="1" outlineLevel="1" x14ac:dyDescent="0.2">
      <c r="A230" s="202"/>
      <c r="B230" s="202"/>
      <c r="C230" s="202"/>
      <c r="D230" s="268" t="s">
        <v>43</v>
      </c>
      <c r="E230" s="264">
        <v>46522</v>
      </c>
      <c r="F230" s="261">
        <v>7.0000000000000007E-2</v>
      </c>
      <c r="G230" s="261">
        <v>6.9099999999999995E-2</v>
      </c>
      <c r="H230" s="261">
        <v>7.0699999999999999E-2</v>
      </c>
      <c r="I230" s="262">
        <v>6.9398399999999999E-2</v>
      </c>
      <c r="J230" s="262">
        <v>6.9599999999999995E-2</v>
      </c>
      <c r="K230" s="265">
        <f>8999200000000/1000000</f>
        <v>8999200</v>
      </c>
      <c r="L230" s="269">
        <v>5750000</v>
      </c>
      <c r="M230" s="263">
        <f>K230/L230</f>
        <v>1.5650782608695653</v>
      </c>
    </row>
    <row r="231" spans="1:16" s="224" customFormat="1" ht="12.75" customHeight="1" outlineLevel="1" x14ac:dyDescent="0.2">
      <c r="A231" s="202"/>
      <c r="B231" s="202"/>
      <c r="C231" s="202"/>
      <c r="D231" s="268" t="s">
        <v>140</v>
      </c>
      <c r="E231" s="264">
        <v>48441</v>
      </c>
      <c r="F231" s="261">
        <v>7.4999999999999997E-2</v>
      </c>
      <c r="G231" s="261">
        <v>7.2800000000000004E-2</v>
      </c>
      <c r="H231" s="261">
        <v>7.4200000000000002E-2</v>
      </c>
      <c r="I231" s="261">
        <v>7.3297500000000002E-2</v>
      </c>
      <c r="J231" s="262">
        <v>7.3499999999999996E-2</v>
      </c>
      <c r="K231" s="265">
        <f>5813100000000/1000000</f>
        <v>5813100</v>
      </c>
      <c r="L231" s="254">
        <v>3750000</v>
      </c>
      <c r="M231" s="263">
        <f>K231/L231</f>
        <v>1.55016</v>
      </c>
    </row>
    <row r="232" spans="1:16" s="224" customFormat="1" ht="12.75" customHeight="1" outlineLevel="1" x14ac:dyDescent="0.2">
      <c r="A232" s="297" t="s">
        <v>124</v>
      </c>
      <c r="B232" s="298"/>
      <c r="C232" s="298"/>
      <c r="D232" s="298"/>
      <c r="E232" s="298"/>
      <c r="F232" s="298"/>
      <c r="G232" s="298"/>
      <c r="H232" s="298"/>
      <c r="I232" s="298"/>
      <c r="J232" s="299"/>
      <c r="K232" s="266">
        <f>SUM(K227:K231)</f>
        <v>35986000</v>
      </c>
      <c r="L232" s="266">
        <f>SUM(L227:L231)</f>
        <v>21050000</v>
      </c>
      <c r="M232" s="267"/>
    </row>
    <row r="233" spans="1:16" s="223" customFormat="1" ht="12.75" customHeight="1" x14ac:dyDescent="0.2">
      <c r="A233" s="300" t="s">
        <v>204</v>
      </c>
      <c r="B233" s="301"/>
      <c r="C233" s="301"/>
      <c r="D233" s="301"/>
      <c r="E233" s="301"/>
      <c r="F233" s="301"/>
      <c r="G233" s="301"/>
      <c r="H233" s="301"/>
      <c r="I233" s="301"/>
      <c r="J233" s="302"/>
      <c r="K233" s="258">
        <f>SUM(K203,K209,K216,K222,K224,K226,K232)</f>
        <v>135406890</v>
      </c>
      <c r="L233" s="258">
        <f>SUM(L203,L209,L216,L222,L224,L226,L232)</f>
        <v>89365390</v>
      </c>
      <c r="M233" s="255"/>
      <c r="O233" s="253"/>
      <c r="P233" s="251"/>
    </row>
    <row r="234" spans="1:16" s="223" customFormat="1" ht="12.75" customHeight="1" x14ac:dyDescent="0.2">
      <c r="A234" s="300" t="s">
        <v>203</v>
      </c>
      <c r="B234" s="301"/>
      <c r="C234" s="301"/>
      <c r="D234" s="301"/>
      <c r="E234" s="301"/>
      <c r="F234" s="301"/>
      <c r="G234" s="301"/>
      <c r="H234" s="301"/>
      <c r="I234" s="301"/>
      <c r="J234" s="302"/>
      <c r="K234" s="258">
        <f>SUM(K197,K203,K209,K216,K222,K224,K226,K232)</f>
        <v>1130201605.01</v>
      </c>
      <c r="L234" s="258">
        <f>SUM(L197,L203,L209,L216,L222,L224,L226,L232)</f>
        <v>484458745.25</v>
      </c>
      <c r="M234" s="255"/>
      <c r="O234" s="253"/>
      <c r="P234" s="251"/>
    </row>
    <row r="235" spans="1:16" s="224" customFormat="1" ht="12.75" customHeight="1" outlineLevel="1" x14ac:dyDescent="0.2">
      <c r="A235" s="215">
        <v>42948</v>
      </c>
      <c r="B235" s="215">
        <v>42950</v>
      </c>
      <c r="C235" s="215" t="s">
        <v>127</v>
      </c>
      <c r="D235" s="259" t="s">
        <v>201</v>
      </c>
      <c r="E235" s="264">
        <v>43133</v>
      </c>
      <c r="F235" s="261" t="s">
        <v>138</v>
      </c>
      <c r="G235" s="261">
        <v>5.3749999999999999E-2</v>
      </c>
      <c r="H235" s="261">
        <v>0.06</v>
      </c>
      <c r="I235" s="262">
        <v>5.4890000000000001E-2</v>
      </c>
      <c r="J235" s="262"/>
      <c r="K235" s="265">
        <v>5115600</v>
      </c>
      <c r="L235" s="265">
        <v>3000000</v>
      </c>
      <c r="M235" s="263">
        <f t="shared" ref="M235:M238" si="20">K235/L235</f>
        <v>1.7052</v>
      </c>
    </row>
    <row r="236" spans="1:16" s="224" customFormat="1" ht="12.75" customHeight="1" outlineLevel="1" x14ac:dyDescent="0.2">
      <c r="A236" s="172"/>
      <c r="B236" s="172"/>
      <c r="C236" s="172"/>
      <c r="D236" s="268" t="s">
        <v>150</v>
      </c>
      <c r="E236" s="264">
        <v>43600</v>
      </c>
      <c r="F236" s="261">
        <v>6.25E-2</v>
      </c>
      <c r="G236" s="261">
        <v>6.6562499999999997E-2</v>
      </c>
      <c r="H236" s="261">
        <v>7.0000000000000007E-2</v>
      </c>
      <c r="I236" s="262">
        <v>6.8098800000000001E-2</v>
      </c>
      <c r="J236" s="262"/>
      <c r="K236" s="269">
        <v>6384000</v>
      </c>
      <c r="L236" s="269">
        <v>3700000</v>
      </c>
      <c r="M236" s="263">
        <f t="shared" si="20"/>
        <v>1.7254054054054053</v>
      </c>
    </row>
    <row r="237" spans="1:16" s="224" customFormat="1" ht="12.75" customHeight="1" outlineLevel="1" x14ac:dyDescent="0.2">
      <c r="A237" s="202"/>
      <c r="B237" s="202"/>
      <c r="C237" s="202"/>
      <c r="D237" s="268" t="s">
        <v>151</v>
      </c>
      <c r="E237" s="264">
        <v>44331</v>
      </c>
      <c r="F237" s="261">
        <v>6.5000000000000002E-2</v>
      </c>
      <c r="G237" s="261">
        <v>6.9687499999999999E-2</v>
      </c>
      <c r="H237" s="261">
        <v>7.3124999999999996E-2</v>
      </c>
      <c r="I237" s="262">
        <v>7.0892200000000002E-2</v>
      </c>
      <c r="J237" s="262"/>
      <c r="K237" s="269">
        <v>1708000</v>
      </c>
      <c r="L237" s="269">
        <v>660000</v>
      </c>
      <c r="M237" s="263">
        <f t="shared" si="20"/>
        <v>2.5878787878787879</v>
      </c>
    </row>
    <row r="238" spans="1:16" s="224" customFormat="1" ht="12.75" customHeight="1" outlineLevel="1" x14ac:dyDescent="0.2">
      <c r="A238" s="202"/>
      <c r="B238" s="202"/>
      <c r="C238" s="202"/>
      <c r="D238" s="268" t="s">
        <v>122</v>
      </c>
      <c r="E238" s="264">
        <v>45153</v>
      </c>
      <c r="F238" s="261">
        <v>8.7499999999999994E-2</v>
      </c>
      <c r="G238" s="261">
        <v>7.1562500000000001E-2</v>
      </c>
      <c r="H238" s="261">
        <v>7.4062500000000003E-2</v>
      </c>
      <c r="I238" s="261">
        <v>7.2577100000000005E-2</v>
      </c>
      <c r="J238" s="262"/>
      <c r="K238" s="269">
        <v>522500</v>
      </c>
      <c r="L238" s="254">
        <v>110000</v>
      </c>
      <c r="M238" s="263">
        <f t="shared" si="20"/>
        <v>4.75</v>
      </c>
    </row>
    <row r="239" spans="1:16" s="224" customFormat="1" ht="12.75" customHeight="1" outlineLevel="1" x14ac:dyDescent="0.2">
      <c r="A239" s="202"/>
      <c r="B239" s="202"/>
      <c r="C239" s="202"/>
      <c r="D239" s="268" t="s">
        <v>123</v>
      </c>
      <c r="E239" s="264">
        <v>48167</v>
      </c>
      <c r="F239" s="261">
        <v>8.8749999999999996E-2</v>
      </c>
      <c r="G239" s="261">
        <v>7.8125E-2</v>
      </c>
      <c r="H239" s="261">
        <v>8.1562499999999996E-2</v>
      </c>
      <c r="I239" s="261">
        <v>7.8791700000000006E-2</v>
      </c>
      <c r="J239" s="262"/>
      <c r="K239" s="254">
        <v>1139000</v>
      </c>
      <c r="L239" s="254">
        <v>150000</v>
      </c>
      <c r="M239" s="263">
        <f>K239/L239</f>
        <v>7.5933333333333337</v>
      </c>
    </row>
    <row r="240" spans="1:16" s="224" customFormat="1" ht="12.75" customHeight="1" outlineLevel="1" x14ac:dyDescent="0.2">
      <c r="A240" s="297" t="s">
        <v>124</v>
      </c>
      <c r="B240" s="298"/>
      <c r="C240" s="298"/>
      <c r="D240" s="298"/>
      <c r="E240" s="298"/>
      <c r="F240" s="298"/>
      <c r="G240" s="298"/>
      <c r="H240" s="298"/>
      <c r="I240" s="298"/>
      <c r="J240" s="299"/>
      <c r="K240" s="266">
        <f>SUM(K235:K239)</f>
        <v>14869100</v>
      </c>
      <c r="L240" s="266">
        <f>SUM(L235:L239)</f>
        <v>7620000</v>
      </c>
      <c r="M240" s="267"/>
    </row>
    <row r="241" spans="1:13" s="224" customFormat="1" ht="12.75" customHeight="1" outlineLevel="1" x14ac:dyDescent="0.2">
      <c r="A241" s="215">
        <v>42955</v>
      </c>
      <c r="B241" s="215">
        <v>42957</v>
      </c>
      <c r="C241" s="215" t="s">
        <v>127</v>
      </c>
      <c r="D241" s="259" t="s">
        <v>223</v>
      </c>
      <c r="E241" s="264">
        <v>43048</v>
      </c>
      <c r="F241" s="261" t="s">
        <v>138</v>
      </c>
      <c r="G241" s="261">
        <v>4.9000000000000002E-2</v>
      </c>
      <c r="H241" s="261">
        <v>5.1799999999999999E-2</v>
      </c>
      <c r="I241" s="262">
        <v>4.9882299999999997E-2</v>
      </c>
      <c r="J241" s="262">
        <v>5.0599999999999999E-2</v>
      </c>
      <c r="K241" s="265">
        <f>8142000000000/1000000</f>
        <v>8142000</v>
      </c>
      <c r="L241" s="265">
        <v>5000000</v>
      </c>
      <c r="M241" s="263">
        <f>K241/L241</f>
        <v>1.6284000000000001</v>
      </c>
    </row>
    <row r="242" spans="1:13" s="224" customFormat="1" ht="12.75" customHeight="1" outlineLevel="1" x14ac:dyDescent="0.2">
      <c r="A242" s="172"/>
      <c r="B242" s="172"/>
      <c r="C242" s="172"/>
      <c r="D242" s="268" t="s">
        <v>224</v>
      </c>
      <c r="E242" s="264">
        <v>43321</v>
      </c>
      <c r="F242" s="261" t="s">
        <v>138</v>
      </c>
      <c r="G242" s="261">
        <v>5.7500000000000002E-2</v>
      </c>
      <c r="H242" s="261">
        <v>6.0499999999999998E-2</v>
      </c>
      <c r="I242" s="262">
        <v>5.89002E-2</v>
      </c>
      <c r="J242" s="262">
        <v>5.91E-2</v>
      </c>
      <c r="K242" s="265">
        <f>11365000000000/1000000</f>
        <v>11365000</v>
      </c>
      <c r="L242" s="269">
        <v>5000000</v>
      </c>
      <c r="M242" s="263">
        <f>K242/L242</f>
        <v>2.2730000000000001</v>
      </c>
    </row>
    <row r="243" spans="1:13" s="224" customFormat="1" ht="12.75" customHeight="1" outlineLevel="1" x14ac:dyDescent="0.2">
      <c r="A243" s="202"/>
      <c r="B243" s="202"/>
      <c r="C243" s="202"/>
      <c r="D243" s="268" t="s">
        <v>35</v>
      </c>
      <c r="E243" s="264">
        <v>44696</v>
      </c>
      <c r="F243" s="261">
        <v>7.0000000000000007E-2</v>
      </c>
      <c r="G243" s="261">
        <v>6.6299999999999998E-2</v>
      </c>
      <c r="H243" s="261">
        <v>6.7599999999999993E-2</v>
      </c>
      <c r="I243" s="262">
        <v>6.6552600000000003E-2</v>
      </c>
      <c r="J243" s="262">
        <v>6.6600000000000006E-2</v>
      </c>
      <c r="K243" s="265">
        <f>16447000000000/1000000</f>
        <v>16447000</v>
      </c>
      <c r="L243" s="269">
        <v>5050000</v>
      </c>
      <c r="M243" s="263">
        <f>K243/L243</f>
        <v>3.2568316831683166</v>
      </c>
    </row>
    <row r="244" spans="1:13" s="224" customFormat="1" ht="12.75" customHeight="1" outlineLevel="1" x14ac:dyDescent="0.2">
      <c r="A244" s="202"/>
      <c r="B244" s="202"/>
      <c r="C244" s="202"/>
      <c r="D244" s="268" t="s">
        <v>140</v>
      </c>
      <c r="E244" s="264">
        <v>48441</v>
      </c>
      <c r="F244" s="261">
        <v>7.4999999999999997E-2</v>
      </c>
      <c r="G244" s="261">
        <v>7.3400000000000007E-2</v>
      </c>
      <c r="H244" s="261">
        <v>7.5600000000000001E-2</v>
      </c>
      <c r="I244" s="262">
        <v>7.3400000000000007E-2</v>
      </c>
      <c r="J244" s="262">
        <v>7.3400000000000007E-2</v>
      </c>
      <c r="K244" s="265">
        <f>7936600000000/1000000</f>
        <v>7936600</v>
      </c>
      <c r="L244" s="269">
        <v>1050000</v>
      </c>
      <c r="M244" s="263">
        <f>K244/L244</f>
        <v>7.5586666666666664</v>
      </c>
    </row>
    <row r="245" spans="1:13" s="224" customFormat="1" ht="12.75" customHeight="1" outlineLevel="1" x14ac:dyDescent="0.2">
      <c r="A245" s="202"/>
      <c r="B245" s="202"/>
      <c r="C245" s="202"/>
      <c r="D245" s="268" t="s">
        <v>225</v>
      </c>
      <c r="E245" s="264">
        <v>50540</v>
      </c>
      <c r="F245" s="261">
        <v>7.4999999999999997E-2</v>
      </c>
      <c r="G245" s="261">
        <v>7.5800000000000006E-2</v>
      </c>
      <c r="H245" s="261">
        <v>7.9000000000000001E-2</v>
      </c>
      <c r="I245" s="261">
        <v>7.6498700000000003E-2</v>
      </c>
      <c r="J245" s="262">
        <v>7.6700000000000004E-2</v>
      </c>
      <c r="K245" s="265">
        <f>14732800000000/1000000</f>
        <v>14732800</v>
      </c>
      <c r="L245" s="254">
        <v>6400000</v>
      </c>
      <c r="M245" s="263">
        <f>K245/L245</f>
        <v>2.302</v>
      </c>
    </row>
    <row r="246" spans="1:13" s="224" customFormat="1" ht="12.75" customHeight="1" outlineLevel="1" x14ac:dyDescent="0.2">
      <c r="A246" s="297" t="s">
        <v>124</v>
      </c>
      <c r="B246" s="298"/>
      <c r="C246" s="298"/>
      <c r="D246" s="298"/>
      <c r="E246" s="298"/>
      <c r="F246" s="298"/>
      <c r="G246" s="298"/>
      <c r="H246" s="298"/>
      <c r="I246" s="298"/>
      <c r="J246" s="299"/>
      <c r="K246" s="266">
        <f>SUM(K241:K245)</f>
        <v>58623400</v>
      </c>
      <c r="L246" s="266">
        <f>SUM(L241:L245)</f>
        <v>22500000</v>
      </c>
      <c r="M246" s="267"/>
    </row>
    <row r="247" spans="1:13" s="224" customFormat="1" ht="12.75" customHeight="1" outlineLevel="1" x14ac:dyDescent="0.2">
      <c r="A247" s="215">
        <v>42962</v>
      </c>
      <c r="B247" s="215">
        <v>42965</v>
      </c>
      <c r="C247" s="215" t="s">
        <v>127</v>
      </c>
      <c r="D247" s="259" t="s">
        <v>201</v>
      </c>
      <c r="E247" s="264">
        <v>43133</v>
      </c>
      <c r="F247" s="261" t="s">
        <v>138</v>
      </c>
      <c r="G247" s="261">
        <v>5.4062499999999999E-2</v>
      </c>
      <c r="H247" s="261">
        <v>0.06</v>
      </c>
      <c r="I247" s="262">
        <v>5.4709399999999998E-2</v>
      </c>
      <c r="J247" s="262"/>
      <c r="K247" s="265">
        <v>5236000</v>
      </c>
      <c r="L247" s="265">
        <v>2000000</v>
      </c>
      <c r="M247" s="263">
        <f t="shared" ref="M247:M250" si="21">K247/L247</f>
        <v>2.6179999999999999</v>
      </c>
    </row>
    <row r="248" spans="1:13" s="224" customFormat="1" ht="12.75" customHeight="1" outlineLevel="1" x14ac:dyDescent="0.2">
      <c r="A248" s="172"/>
      <c r="B248" s="172"/>
      <c r="C248" s="172"/>
      <c r="D248" s="268" t="s">
        <v>150</v>
      </c>
      <c r="E248" s="264">
        <v>43600</v>
      </c>
      <c r="F248" s="261">
        <v>6.25E-2</v>
      </c>
      <c r="G248" s="261">
        <v>6.7187499999999997E-2</v>
      </c>
      <c r="H248" s="261">
        <v>7.0000000000000007E-2</v>
      </c>
      <c r="I248" s="262">
        <v>6.7599400000000004E-2</v>
      </c>
      <c r="J248" s="262"/>
      <c r="K248" s="269">
        <v>5982000</v>
      </c>
      <c r="L248" s="269">
        <v>2350000</v>
      </c>
      <c r="M248" s="263">
        <f t="shared" si="21"/>
        <v>2.5455319148936169</v>
      </c>
    </row>
    <row r="249" spans="1:13" s="224" customFormat="1" ht="12.75" customHeight="1" outlineLevel="1" x14ac:dyDescent="0.2">
      <c r="A249" s="202"/>
      <c r="B249" s="202"/>
      <c r="C249" s="202"/>
      <c r="D249" s="268" t="s">
        <v>151</v>
      </c>
      <c r="E249" s="264">
        <v>44331</v>
      </c>
      <c r="F249" s="261">
        <v>6.5000000000000002E-2</v>
      </c>
      <c r="G249" s="261">
        <v>7.0000000000000007E-2</v>
      </c>
      <c r="H249" s="261">
        <v>7.2499999999999995E-2</v>
      </c>
      <c r="I249" s="262">
        <v>7.0199300000000006E-2</v>
      </c>
      <c r="J249" s="262"/>
      <c r="K249" s="269">
        <v>2823000</v>
      </c>
      <c r="L249" s="269">
        <v>690000</v>
      </c>
      <c r="M249" s="263">
        <f t="shared" si="21"/>
        <v>4.0913043478260871</v>
      </c>
    </row>
    <row r="250" spans="1:13" s="224" customFormat="1" ht="12.75" customHeight="1" outlineLevel="1" x14ac:dyDescent="0.2">
      <c r="A250" s="202"/>
      <c r="B250" s="202"/>
      <c r="C250" s="202"/>
      <c r="D250" s="268" t="s">
        <v>122</v>
      </c>
      <c r="E250" s="264">
        <v>45153</v>
      </c>
      <c r="F250" s="261">
        <v>8.7499999999999994E-2</v>
      </c>
      <c r="G250" s="261">
        <v>7.1874999999999994E-2</v>
      </c>
      <c r="H250" s="261">
        <v>7.3749999999999996E-2</v>
      </c>
      <c r="I250" s="261">
        <v>7.2190500000000005E-2</v>
      </c>
      <c r="J250" s="262"/>
      <c r="K250" s="269">
        <v>920000</v>
      </c>
      <c r="L250" s="254">
        <v>150000</v>
      </c>
      <c r="M250" s="263">
        <f t="shared" si="21"/>
        <v>6.1333333333333337</v>
      </c>
    </row>
    <row r="251" spans="1:13" s="224" customFormat="1" ht="12.75" customHeight="1" outlineLevel="1" x14ac:dyDescent="0.2">
      <c r="A251" s="202"/>
      <c r="B251" s="202"/>
      <c r="C251" s="202"/>
      <c r="D251" s="268" t="s">
        <v>123</v>
      </c>
      <c r="E251" s="264">
        <v>48167</v>
      </c>
      <c r="F251" s="261">
        <v>8.8749999999999996E-2</v>
      </c>
      <c r="G251" s="261">
        <v>7.8125E-2</v>
      </c>
      <c r="H251" s="261">
        <v>7.9687499999999994E-2</v>
      </c>
      <c r="I251" s="261">
        <v>7.8499299999999994E-2</v>
      </c>
      <c r="J251" s="262"/>
      <c r="K251" s="254">
        <v>2608000</v>
      </c>
      <c r="L251" s="254">
        <v>520000</v>
      </c>
      <c r="M251" s="263">
        <f>K251/L251</f>
        <v>5.0153846153846153</v>
      </c>
    </row>
    <row r="252" spans="1:13" s="224" customFormat="1" ht="12.75" customHeight="1" outlineLevel="1" x14ac:dyDescent="0.2">
      <c r="A252" s="297" t="s">
        <v>124</v>
      </c>
      <c r="B252" s="298"/>
      <c r="C252" s="298"/>
      <c r="D252" s="298"/>
      <c r="E252" s="298"/>
      <c r="F252" s="298"/>
      <c r="G252" s="298"/>
      <c r="H252" s="298"/>
      <c r="I252" s="298"/>
      <c r="J252" s="299"/>
      <c r="K252" s="266">
        <f>SUM(K247:K251)</f>
        <v>17569000</v>
      </c>
      <c r="L252" s="266">
        <f>SUM(L247:L251)</f>
        <v>5710000</v>
      </c>
      <c r="M252" s="267"/>
    </row>
    <row r="253" spans="1:13" s="224" customFormat="1" ht="12.75" customHeight="1" outlineLevel="1" x14ac:dyDescent="0.2">
      <c r="A253" s="215">
        <v>42969</v>
      </c>
      <c r="B253" s="215">
        <v>42971</v>
      </c>
      <c r="C253" s="215" t="s">
        <v>127</v>
      </c>
      <c r="D253" s="259" t="s">
        <v>226</v>
      </c>
      <c r="E253" s="264">
        <v>43062</v>
      </c>
      <c r="F253" s="261" t="s">
        <v>138</v>
      </c>
      <c r="G253" s="261">
        <v>4.9500000000000002E-2</v>
      </c>
      <c r="H253" s="261">
        <v>5.0999999999999997E-2</v>
      </c>
      <c r="I253" s="262">
        <v>5.006E-2</v>
      </c>
      <c r="J253" s="262">
        <v>5.0500000000000003E-2</v>
      </c>
      <c r="K253" s="265">
        <f>5975000000000/1000000</f>
        <v>5975000</v>
      </c>
      <c r="L253" s="265">
        <v>5000000</v>
      </c>
      <c r="M253" s="263">
        <f>K253/L253</f>
        <v>1.1950000000000001</v>
      </c>
    </row>
    <row r="254" spans="1:13" s="224" customFormat="1" ht="12.75" customHeight="1" outlineLevel="1" x14ac:dyDescent="0.2">
      <c r="A254" s="172"/>
      <c r="B254" s="172"/>
      <c r="C254" s="172"/>
      <c r="D254" s="268" t="s">
        <v>181</v>
      </c>
      <c r="E254" s="264">
        <v>43231</v>
      </c>
      <c r="F254" s="261" t="s">
        <v>138</v>
      </c>
      <c r="G254" s="261">
        <v>5.5500000000000001E-2</v>
      </c>
      <c r="H254" s="261">
        <v>5.8500000000000003E-2</v>
      </c>
      <c r="I254" s="262">
        <v>5.6571000000000003E-2</v>
      </c>
      <c r="J254" s="262">
        <v>5.6899999999999999E-2</v>
      </c>
      <c r="K254" s="265">
        <f>10150000000000/1000000</f>
        <v>10150000</v>
      </c>
      <c r="L254" s="269">
        <v>3000000</v>
      </c>
      <c r="M254" s="263">
        <f>K254/L254</f>
        <v>3.3833333333333333</v>
      </c>
    </row>
    <row r="255" spans="1:13" s="224" customFormat="1" ht="12.75" customHeight="1" outlineLevel="1" x14ac:dyDescent="0.2">
      <c r="A255" s="202"/>
      <c r="B255" s="202"/>
      <c r="C255" s="202"/>
      <c r="D255" s="268" t="s">
        <v>43</v>
      </c>
      <c r="E255" s="264">
        <v>46522</v>
      </c>
      <c r="F255" s="261">
        <v>7.0000000000000007E-2</v>
      </c>
      <c r="G255" s="261">
        <v>6.83E-2</v>
      </c>
      <c r="H255" s="261">
        <v>6.9900000000000004E-2</v>
      </c>
      <c r="I255" s="262">
        <v>6.8588099999999999E-2</v>
      </c>
      <c r="J255" s="262">
        <v>6.8699999999999997E-2</v>
      </c>
      <c r="K255" s="265">
        <f>11097500000000/1000000</f>
        <v>11097500</v>
      </c>
      <c r="L255" s="269">
        <v>1500000</v>
      </c>
      <c r="M255" s="263">
        <f>K255/L255</f>
        <v>7.3983333333333334</v>
      </c>
    </row>
    <row r="256" spans="1:13" s="224" customFormat="1" ht="12.75" customHeight="1" outlineLevel="1" x14ac:dyDescent="0.2">
      <c r="A256" s="202"/>
      <c r="B256" s="202"/>
      <c r="C256" s="202"/>
      <c r="D256" s="268" t="s">
        <v>140</v>
      </c>
      <c r="E256" s="264">
        <v>48441</v>
      </c>
      <c r="F256" s="261">
        <v>7.4999999999999997E-2</v>
      </c>
      <c r="G256" s="261">
        <v>7.2800000000000004E-2</v>
      </c>
      <c r="H256" s="261">
        <v>7.4099999999999999E-2</v>
      </c>
      <c r="I256" s="262">
        <v>7.2899400000000003E-2</v>
      </c>
      <c r="J256" s="262">
        <v>7.2999999999999995E-2</v>
      </c>
      <c r="K256" s="265">
        <f>9183800000000/1000000</f>
        <v>9183800</v>
      </c>
      <c r="L256" s="269">
        <v>2650000</v>
      </c>
      <c r="M256" s="263">
        <f>K256/L256</f>
        <v>3.4655849056603776</v>
      </c>
    </row>
    <row r="257" spans="1:16" s="224" customFormat="1" ht="12.75" customHeight="1" outlineLevel="1" x14ac:dyDescent="0.2">
      <c r="A257" s="202"/>
      <c r="B257" s="202"/>
      <c r="C257" s="202"/>
      <c r="D257" s="268" t="s">
        <v>225</v>
      </c>
      <c r="E257" s="264">
        <v>50540</v>
      </c>
      <c r="F257" s="261">
        <v>7.4999999999999997E-2</v>
      </c>
      <c r="G257" s="261">
        <v>7.3400000000000007E-2</v>
      </c>
      <c r="H257" s="261">
        <v>7.6499999999999999E-2</v>
      </c>
      <c r="I257" s="261">
        <v>7.3609900000000006E-2</v>
      </c>
      <c r="J257" s="262">
        <v>7.3700000000000002E-2</v>
      </c>
      <c r="K257" s="265">
        <f>9905600000000/1000000</f>
        <v>9905600</v>
      </c>
      <c r="L257" s="254">
        <v>2850000</v>
      </c>
      <c r="M257" s="263">
        <f>K257/L257</f>
        <v>3.4756491228070177</v>
      </c>
    </row>
    <row r="258" spans="1:16" s="224" customFormat="1" ht="12.75" customHeight="1" outlineLevel="1" x14ac:dyDescent="0.2">
      <c r="A258" s="297" t="s">
        <v>124</v>
      </c>
      <c r="B258" s="298"/>
      <c r="C258" s="298"/>
      <c r="D258" s="298"/>
      <c r="E258" s="298"/>
      <c r="F258" s="298"/>
      <c r="G258" s="298"/>
      <c r="H258" s="298"/>
      <c r="I258" s="298"/>
      <c r="J258" s="299"/>
      <c r="K258" s="266">
        <f>SUM(K253:K257)</f>
        <v>46311900</v>
      </c>
      <c r="L258" s="266">
        <f>SUM(L253:L257)</f>
        <v>15000000</v>
      </c>
      <c r="M258" s="267"/>
    </row>
    <row r="259" spans="1:16" s="224" customFormat="1" ht="12.75" customHeight="1" outlineLevel="1" x14ac:dyDescent="0.2">
      <c r="A259" s="215">
        <v>42976</v>
      </c>
      <c r="B259" s="215">
        <v>42978</v>
      </c>
      <c r="C259" s="215" t="s">
        <v>127</v>
      </c>
      <c r="D259" s="259" t="s">
        <v>201</v>
      </c>
      <c r="E259" s="264">
        <v>43133</v>
      </c>
      <c r="F259" s="261" t="s">
        <v>138</v>
      </c>
      <c r="G259" s="261">
        <v>5.2812499999999998E-2</v>
      </c>
      <c r="H259" s="261">
        <v>5.7500000000000002E-2</v>
      </c>
      <c r="I259" s="262">
        <v>5.37394E-2</v>
      </c>
      <c r="J259" s="262"/>
      <c r="K259" s="265">
        <v>4823000</v>
      </c>
      <c r="L259" s="265">
        <v>2000000</v>
      </c>
      <c r="M259" s="263">
        <f t="shared" ref="M259:M262" si="22">K259/L259</f>
        <v>2.4115000000000002</v>
      </c>
    </row>
    <row r="260" spans="1:16" s="224" customFormat="1" ht="12.75" customHeight="1" outlineLevel="1" x14ac:dyDescent="0.2">
      <c r="A260" s="172"/>
      <c r="B260" s="172"/>
      <c r="C260" s="172"/>
      <c r="D260" s="268" t="s">
        <v>150</v>
      </c>
      <c r="E260" s="264">
        <v>43600</v>
      </c>
      <c r="F260" s="261">
        <v>6.25E-2</v>
      </c>
      <c r="G260" s="261">
        <v>6.3750000000000001E-2</v>
      </c>
      <c r="H260" s="261">
        <v>6.7500000000000004E-2</v>
      </c>
      <c r="I260" s="262">
        <v>6.3948000000000005E-2</v>
      </c>
      <c r="J260" s="262"/>
      <c r="K260" s="269">
        <v>10789000</v>
      </c>
      <c r="L260" s="269">
        <v>3160000</v>
      </c>
      <c r="M260" s="263">
        <f t="shared" si="22"/>
        <v>3.4142405063291141</v>
      </c>
    </row>
    <row r="261" spans="1:16" s="224" customFormat="1" ht="12.75" customHeight="1" outlineLevel="1" x14ac:dyDescent="0.2">
      <c r="A261" s="202"/>
      <c r="B261" s="202"/>
      <c r="C261" s="202"/>
      <c r="D261" s="268" t="s">
        <v>151</v>
      </c>
      <c r="E261" s="264">
        <v>44331</v>
      </c>
      <c r="F261" s="261">
        <v>6.5000000000000002E-2</v>
      </c>
      <c r="G261" s="261">
        <v>6.6250000000000003E-2</v>
      </c>
      <c r="H261" s="261">
        <v>7.0624999999999993E-2</v>
      </c>
      <c r="I261" s="262">
        <v>6.6688300000000006E-2</v>
      </c>
      <c r="J261" s="262"/>
      <c r="K261" s="269">
        <v>4979000</v>
      </c>
      <c r="L261" s="269">
        <v>220000</v>
      </c>
      <c r="M261" s="263">
        <f t="shared" si="22"/>
        <v>22.631818181818183</v>
      </c>
    </row>
    <row r="262" spans="1:16" s="224" customFormat="1" ht="12.75" customHeight="1" outlineLevel="1" x14ac:dyDescent="0.2">
      <c r="A262" s="202"/>
      <c r="B262" s="202"/>
      <c r="C262" s="202"/>
      <c r="D262" s="268" t="s">
        <v>122</v>
      </c>
      <c r="E262" s="264">
        <v>45153</v>
      </c>
      <c r="F262" s="261">
        <v>8.7499999999999994E-2</v>
      </c>
      <c r="G262" s="261">
        <v>6.9062499999999999E-2</v>
      </c>
      <c r="H262" s="261">
        <v>7.2499999999999995E-2</v>
      </c>
      <c r="I262" s="261">
        <v>7.0494500000000002E-2</v>
      </c>
      <c r="J262" s="262"/>
      <c r="K262" s="269">
        <v>2928000</v>
      </c>
      <c r="L262" s="254">
        <v>1300000</v>
      </c>
      <c r="M262" s="263">
        <f t="shared" si="22"/>
        <v>2.2523076923076921</v>
      </c>
    </row>
    <row r="263" spans="1:16" s="224" customFormat="1" ht="12.75" customHeight="1" outlineLevel="1" x14ac:dyDescent="0.2">
      <c r="A263" s="202"/>
      <c r="B263" s="202"/>
      <c r="C263" s="202"/>
      <c r="D263" s="268" t="s">
        <v>123</v>
      </c>
      <c r="E263" s="264">
        <v>48167</v>
      </c>
      <c r="F263" s="261">
        <v>8.8749999999999996E-2</v>
      </c>
      <c r="G263" s="261">
        <v>7.4999999999999997E-2</v>
      </c>
      <c r="H263" s="261">
        <v>7.9062499999999994E-2</v>
      </c>
      <c r="I263" s="261">
        <v>7.6184399999999999E-2</v>
      </c>
      <c r="J263" s="262"/>
      <c r="K263" s="254">
        <v>2911000</v>
      </c>
      <c r="L263" s="254">
        <v>320000</v>
      </c>
      <c r="M263" s="263">
        <f>K263/L263</f>
        <v>9.0968750000000007</v>
      </c>
    </row>
    <row r="264" spans="1:16" s="224" customFormat="1" ht="12.75" customHeight="1" outlineLevel="1" x14ac:dyDescent="0.2">
      <c r="A264" s="297" t="s">
        <v>124</v>
      </c>
      <c r="B264" s="298"/>
      <c r="C264" s="298"/>
      <c r="D264" s="298"/>
      <c r="E264" s="298"/>
      <c r="F264" s="298"/>
      <c r="G264" s="298"/>
      <c r="H264" s="298"/>
      <c r="I264" s="298"/>
      <c r="J264" s="299"/>
      <c r="K264" s="266">
        <f>SUM(K259:K263)</f>
        <v>26430000</v>
      </c>
      <c r="L264" s="266">
        <f>SUM(L259:L263)</f>
        <v>7000000</v>
      </c>
      <c r="M264" s="267"/>
    </row>
    <row r="265" spans="1:16" s="223" customFormat="1" ht="12.75" customHeight="1" x14ac:dyDescent="0.2">
      <c r="A265" s="300" t="s">
        <v>202</v>
      </c>
      <c r="B265" s="301"/>
      <c r="C265" s="301"/>
      <c r="D265" s="301"/>
      <c r="E265" s="301"/>
      <c r="F265" s="301"/>
      <c r="G265" s="301"/>
      <c r="H265" s="301"/>
      <c r="I265" s="301"/>
      <c r="J265" s="302"/>
      <c r="K265" s="258">
        <f>SUM(K240,K246,K252,K258,K264)</f>
        <v>163803400</v>
      </c>
      <c r="L265" s="258">
        <f>SUM(L240,L246,L252,L258,L264)</f>
        <v>57830000</v>
      </c>
      <c r="M265" s="255"/>
      <c r="O265" s="253"/>
      <c r="P265" s="251"/>
    </row>
    <row r="266" spans="1:16" s="223" customFormat="1" ht="12.75" customHeight="1" x14ac:dyDescent="0.2">
      <c r="A266" s="300" t="s">
        <v>229</v>
      </c>
      <c r="B266" s="301"/>
      <c r="C266" s="301"/>
      <c r="D266" s="301"/>
      <c r="E266" s="301"/>
      <c r="F266" s="301"/>
      <c r="G266" s="301"/>
      <c r="H266" s="301"/>
      <c r="I266" s="301"/>
      <c r="J266" s="302"/>
      <c r="K266" s="258">
        <f>SUM(K234,K240,K246,K252,K258,K264)</f>
        <v>1294005005.01</v>
      </c>
      <c r="L266" s="258">
        <f>SUM(L234,L240,L246,L252,L258,L264)</f>
        <v>542288745.25</v>
      </c>
      <c r="M266" s="255"/>
      <c r="O266" s="253"/>
      <c r="P266" s="251"/>
    </row>
    <row r="267" spans="1:16" s="224" customFormat="1" ht="12.75" customHeight="1" outlineLevel="1" x14ac:dyDescent="0.2">
      <c r="A267" s="215">
        <v>42982</v>
      </c>
      <c r="B267" s="215">
        <v>42984</v>
      </c>
      <c r="C267" s="222" t="s">
        <v>165</v>
      </c>
      <c r="D267" s="214" t="s">
        <v>227</v>
      </c>
      <c r="E267" s="219">
        <v>43905</v>
      </c>
      <c r="F267" s="261">
        <v>6.25E-2</v>
      </c>
      <c r="G267" s="261"/>
      <c r="H267" s="261"/>
      <c r="I267" s="217"/>
      <c r="J267" s="217"/>
      <c r="K267" s="266">
        <v>500000</v>
      </c>
      <c r="L267" s="266">
        <v>500000</v>
      </c>
      <c r="M267" s="263">
        <f>L267/K267</f>
        <v>1</v>
      </c>
    </row>
    <row r="268" spans="1:16" s="224" customFormat="1" ht="12.75" customHeight="1" outlineLevel="1" x14ac:dyDescent="0.2">
      <c r="A268" s="297" t="s">
        <v>124</v>
      </c>
      <c r="B268" s="298"/>
      <c r="C268" s="298"/>
      <c r="D268" s="298"/>
      <c r="E268" s="298"/>
      <c r="F268" s="298"/>
      <c r="G268" s="298"/>
      <c r="H268" s="298"/>
      <c r="I268" s="298"/>
      <c r="J268" s="299"/>
      <c r="K268" s="266">
        <f>K267</f>
        <v>500000</v>
      </c>
      <c r="L268" s="266">
        <f>L267</f>
        <v>500000</v>
      </c>
      <c r="M268" s="267"/>
    </row>
    <row r="269" spans="1:16" s="224" customFormat="1" ht="12.75" customHeight="1" outlineLevel="1" x14ac:dyDescent="0.2">
      <c r="A269" s="215">
        <v>42983</v>
      </c>
      <c r="B269" s="215">
        <v>42985</v>
      </c>
      <c r="C269" s="215" t="s">
        <v>127</v>
      </c>
      <c r="D269" s="259" t="s">
        <v>230</v>
      </c>
      <c r="E269" s="264">
        <v>43076</v>
      </c>
      <c r="F269" s="261" t="s">
        <v>138</v>
      </c>
      <c r="G269" s="261">
        <v>4.8000000000000001E-2</v>
      </c>
      <c r="H269" s="261">
        <v>5.1499999999999997E-2</v>
      </c>
      <c r="I269" s="262">
        <v>4.9070000000000003E-2</v>
      </c>
      <c r="J269" s="262">
        <v>4.9500000000000002E-2</v>
      </c>
      <c r="K269" s="265">
        <f>8655000000000/1000000</f>
        <v>8655000</v>
      </c>
      <c r="L269" s="265">
        <v>5000000</v>
      </c>
      <c r="M269" s="263">
        <f>K269/L269</f>
        <v>1.7310000000000001</v>
      </c>
    </row>
    <row r="270" spans="1:16" s="224" customFormat="1" ht="12.75" customHeight="1" outlineLevel="1" x14ac:dyDescent="0.2">
      <c r="A270" s="172"/>
      <c r="B270" s="172"/>
      <c r="C270" s="172"/>
      <c r="D270" s="268" t="s">
        <v>231</v>
      </c>
      <c r="E270" s="264">
        <v>43349</v>
      </c>
      <c r="F270" s="261" t="s">
        <v>138</v>
      </c>
      <c r="G270" s="261">
        <v>5.3499999999999999E-2</v>
      </c>
      <c r="H270" s="261">
        <v>5.9799999999999999E-2</v>
      </c>
      <c r="I270" s="262">
        <v>5.5063300000000003E-2</v>
      </c>
      <c r="J270" s="262">
        <v>5.5800000000000002E-2</v>
      </c>
      <c r="K270" s="265">
        <f>15980000000000/1000000</f>
        <v>15980000</v>
      </c>
      <c r="L270" s="269">
        <v>3000000</v>
      </c>
      <c r="M270" s="263">
        <f>K270/L270</f>
        <v>5.3266666666666671</v>
      </c>
    </row>
    <row r="271" spans="1:16" s="224" customFormat="1" ht="12.75" customHeight="1" outlineLevel="1" x14ac:dyDescent="0.2">
      <c r="A271" s="202"/>
      <c r="B271" s="202"/>
      <c r="C271" s="202"/>
      <c r="D271" s="268" t="s">
        <v>35</v>
      </c>
      <c r="E271" s="264">
        <v>44696</v>
      </c>
      <c r="F271" s="261">
        <v>7.0000000000000007E-2</v>
      </c>
      <c r="G271" s="261">
        <v>6.1600000000000002E-2</v>
      </c>
      <c r="H271" s="261">
        <v>6.3299999999999995E-2</v>
      </c>
      <c r="I271" s="262">
        <v>6.1824200000000003E-2</v>
      </c>
      <c r="J271" s="262">
        <v>6.2E-2</v>
      </c>
      <c r="K271" s="265">
        <f>12852000000000/1000000</f>
        <v>12852000</v>
      </c>
      <c r="L271" s="269">
        <v>3950000</v>
      </c>
      <c r="M271" s="263">
        <f>K271/L271</f>
        <v>3.2536708860759496</v>
      </c>
    </row>
    <row r="272" spans="1:16" s="224" customFormat="1" ht="12.75" customHeight="1" outlineLevel="1" x14ac:dyDescent="0.2">
      <c r="A272" s="202"/>
      <c r="B272" s="202"/>
      <c r="C272" s="202"/>
      <c r="D272" s="268" t="s">
        <v>43</v>
      </c>
      <c r="E272" s="264">
        <v>46522</v>
      </c>
      <c r="F272" s="261">
        <v>7.0000000000000007E-2</v>
      </c>
      <c r="G272" s="261">
        <v>6.6199999999999995E-2</v>
      </c>
      <c r="H272" s="261">
        <v>6.9000000000000006E-2</v>
      </c>
      <c r="I272" s="262">
        <v>6.6453499999999999E-2</v>
      </c>
      <c r="J272" s="262">
        <v>6.6500000000000004E-2</v>
      </c>
      <c r="K272" s="265">
        <f>9313500000000/1000000</f>
        <v>9313500</v>
      </c>
      <c r="L272" s="269">
        <v>2500000</v>
      </c>
      <c r="M272" s="263">
        <f>K272/L272</f>
        <v>3.7254</v>
      </c>
    </row>
    <row r="273" spans="1:13" s="224" customFormat="1" ht="12.75" customHeight="1" outlineLevel="1" x14ac:dyDescent="0.2">
      <c r="A273" s="202"/>
      <c r="B273" s="202"/>
      <c r="C273" s="202"/>
      <c r="D273" s="268" t="s">
        <v>140</v>
      </c>
      <c r="E273" s="264">
        <v>48441</v>
      </c>
      <c r="F273" s="261">
        <v>7.4999999999999997E-2</v>
      </c>
      <c r="G273" s="261">
        <v>7.0199999999999999E-2</v>
      </c>
      <c r="H273" s="261">
        <v>7.2999999999999995E-2</v>
      </c>
      <c r="I273" s="261">
        <v>7.04983E-2</v>
      </c>
      <c r="J273" s="262">
        <v>7.0699999999999999E-2</v>
      </c>
      <c r="K273" s="265">
        <f>9731000000000/1000000</f>
        <v>9731000</v>
      </c>
      <c r="L273" s="254">
        <v>2550000</v>
      </c>
      <c r="M273" s="263">
        <f>K273/L273</f>
        <v>3.8160784313725489</v>
      </c>
    </row>
    <row r="274" spans="1:13" s="224" customFormat="1" ht="12.75" customHeight="1" outlineLevel="1" x14ac:dyDescent="0.2">
      <c r="A274" s="297" t="s">
        <v>124</v>
      </c>
      <c r="B274" s="298"/>
      <c r="C274" s="298"/>
      <c r="D274" s="298"/>
      <c r="E274" s="298"/>
      <c r="F274" s="298"/>
      <c r="G274" s="298"/>
      <c r="H274" s="298"/>
      <c r="I274" s="298"/>
      <c r="J274" s="299"/>
      <c r="K274" s="266">
        <f>SUM(K269:K273)</f>
        <v>56531500</v>
      </c>
      <c r="L274" s="266">
        <f>SUM(L269:L273)</f>
        <v>17000000</v>
      </c>
      <c r="M274" s="267"/>
    </row>
    <row r="275" spans="1:13" s="224" customFormat="1" ht="12.75" customHeight="1" outlineLevel="1" x14ac:dyDescent="0.2">
      <c r="A275" s="215">
        <v>42990</v>
      </c>
      <c r="B275" s="215">
        <v>42992</v>
      </c>
      <c r="C275" s="215" t="s">
        <v>127</v>
      </c>
      <c r="D275" s="259" t="s">
        <v>232</v>
      </c>
      <c r="E275" s="264">
        <v>43172</v>
      </c>
      <c r="F275" s="261" t="s">
        <v>138</v>
      </c>
      <c r="G275" s="261">
        <v>4.71875E-2</v>
      </c>
      <c r="H275" s="261">
        <v>5.5312500000000001E-2</v>
      </c>
      <c r="I275" s="262">
        <v>4.8484899999999997E-2</v>
      </c>
      <c r="J275" s="262"/>
      <c r="K275" s="265">
        <v>8050000</v>
      </c>
      <c r="L275" s="265">
        <v>1450000</v>
      </c>
      <c r="M275" s="263">
        <f t="shared" ref="M275:M278" si="23">K275/L275</f>
        <v>5.5517241379310347</v>
      </c>
    </row>
    <row r="276" spans="1:13" s="224" customFormat="1" ht="12.75" customHeight="1" outlineLevel="1" x14ac:dyDescent="0.2">
      <c r="A276" s="172"/>
      <c r="B276" s="172"/>
      <c r="C276" s="172"/>
      <c r="D276" s="268" t="s">
        <v>150</v>
      </c>
      <c r="E276" s="264">
        <v>43600</v>
      </c>
      <c r="F276" s="261">
        <v>6.25E-2</v>
      </c>
      <c r="G276" s="261">
        <v>5.9374999999999997E-2</v>
      </c>
      <c r="H276" s="261">
        <v>6.5000000000000002E-2</v>
      </c>
      <c r="I276" s="262">
        <v>6.0200799999999999E-2</v>
      </c>
      <c r="J276" s="262"/>
      <c r="K276" s="269">
        <v>12025000</v>
      </c>
      <c r="L276" s="269">
        <v>2410000</v>
      </c>
      <c r="M276" s="263">
        <f t="shared" si="23"/>
        <v>4.9896265560165975</v>
      </c>
    </row>
    <row r="277" spans="1:13" s="224" customFormat="1" ht="12.75" customHeight="1" outlineLevel="1" x14ac:dyDescent="0.2">
      <c r="A277" s="202"/>
      <c r="B277" s="202"/>
      <c r="C277" s="202"/>
      <c r="D277" s="268" t="s">
        <v>151</v>
      </c>
      <c r="E277" s="264">
        <v>44331</v>
      </c>
      <c r="F277" s="261">
        <v>6.5000000000000002E-2</v>
      </c>
      <c r="G277" s="261">
        <v>6.21875E-2</v>
      </c>
      <c r="H277" s="261">
        <v>6.5625000000000003E-2</v>
      </c>
      <c r="I277" s="262">
        <v>6.2997300000000006E-2</v>
      </c>
      <c r="J277" s="262"/>
      <c r="K277" s="269">
        <v>3505000</v>
      </c>
      <c r="L277" s="269">
        <v>1630000</v>
      </c>
      <c r="M277" s="263">
        <f t="shared" si="23"/>
        <v>2.1503067484662575</v>
      </c>
    </row>
    <row r="278" spans="1:13" s="224" customFormat="1" ht="12.75" customHeight="1" outlineLevel="1" x14ac:dyDescent="0.2">
      <c r="A278" s="202"/>
      <c r="B278" s="202"/>
      <c r="C278" s="202"/>
      <c r="D278" s="268" t="s">
        <v>122</v>
      </c>
      <c r="E278" s="264">
        <v>45153</v>
      </c>
      <c r="F278" s="261">
        <v>8.7499999999999994E-2</v>
      </c>
      <c r="G278" s="261">
        <v>6.6562499999999997E-2</v>
      </c>
      <c r="H278" s="261">
        <v>7.0000000000000007E-2</v>
      </c>
      <c r="I278" s="261">
        <v>6.6589300000000004E-2</v>
      </c>
      <c r="J278" s="262"/>
      <c r="K278" s="269">
        <v>2300700</v>
      </c>
      <c r="L278" s="254">
        <v>250000</v>
      </c>
      <c r="M278" s="263">
        <f t="shared" si="23"/>
        <v>9.2027999999999999</v>
      </c>
    </row>
    <row r="279" spans="1:13" s="224" customFormat="1" ht="12.75" customHeight="1" outlineLevel="1" x14ac:dyDescent="0.2">
      <c r="A279" s="202"/>
      <c r="B279" s="202"/>
      <c r="C279" s="202"/>
      <c r="D279" s="268" t="s">
        <v>123</v>
      </c>
      <c r="E279" s="264">
        <v>48167</v>
      </c>
      <c r="F279" s="261">
        <v>8.8749999999999996E-2</v>
      </c>
      <c r="G279" s="261">
        <v>7.1874999999999994E-2</v>
      </c>
      <c r="H279" s="261">
        <v>7.5312500000000004E-2</v>
      </c>
      <c r="I279" s="261">
        <v>7.3194899999999993E-2</v>
      </c>
      <c r="J279" s="262"/>
      <c r="K279" s="254">
        <v>1707400</v>
      </c>
      <c r="L279" s="254">
        <v>1260000</v>
      </c>
      <c r="M279" s="263">
        <f>K279/L279</f>
        <v>1.3550793650793651</v>
      </c>
    </row>
    <row r="280" spans="1:13" s="224" customFormat="1" ht="12.75" customHeight="1" outlineLevel="1" x14ac:dyDescent="0.2">
      <c r="A280" s="297" t="s">
        <v>124</v>
      </c>
      <c r="B280" s="298"/>
      <c r="C280" s="298"/>
      <c r="D280" s="298"/>
      <c r="E280" s="298"/>
      <c r="F280" s="298"/>
      <c r="G280" s="298"/>
      <c r="H280" s="298"/>
      <c r="I280" s="298"/>
      <c r="J280" s="299"/>
      <c r="K280" s="266">
        <f>SUM(K275:K279)</f>
        <v>27588100</v>
      </c>
      <c r="L280" s="266">
        <f>SUM(L275:L279)</f>
        <v>7000000</v>
      </c>
      <c r="M280" s="267"/>
    </row>
    <row r="281" spans="1:13" s="224" customFormat="1" ht="12.75" customHeight="1" outlineLevel="1" x14ac:dyDescent="0.2">
      <c r="A281" s="215">
        <v>42997</v>
      </c>
      <c r="B281" s="215">
        <v>43000</v>
      </c>
      <c r="C281" s="215" t="s">
        <v>127</v>
      </c>
      <c r="D281" s="259" t="s">
        <v>233</v>
      </c>
      <c r="E281" s="264">
        <v>43090</v>
      </c>
      <c r="F281" s="261" t="s">
        <v>138</v>
      </c>
      <c r="G281" s="261">
        <v>4.2500000000000003E-2</v>
      </c>
      <c r="H281" s="261">
        <v>4.9799999999999997E-2</v>
      </c>
      <c r="I281" s="262">
        <v>4.5303000000000003E-2</v>
      </c>
      <c r="J281" s="262">
        <v>4.7500000000000001E-2</v>
      </c>
      <c r="K281" s="265">
        <f>11300000000000/1000000</f>
        <v>11300000</v>
      </c>
      <c r="L281" s="265">
        <v>5000000</v>
      </c>
      <c r="M281" s="263">
        <f t="shared" ref="M281:M286" si="24">K281/L281</f>
        <v>2.2599999999999998</v>
      </c>
    </row>
    <row r="282" spans="1:13" s="224" customFormat="1" ht="12.75" customHeight="1" outlineLevel="1" x14ac:dyDescent="0.2">
      <c r="A282" s="172"/>
      <c r="B282" s="172"/>
      <c r="C282" s="172"/>
      <c r="D282" s="268" t="s">
        <v>186</v>
      </c>
      <c r="E282" s="264">
        <v>43258</v>
      </c>
      <c r="F282" s="261" t="s">
        <v>138</v>
      </c>
      <c r="G282" s="261">
        <v>4.9399999999999999E-2</v>
      </c>
      <c r="H282" s="261">
        <v>5.5500000000000001E-2</v>
      </c>
      <c r="I282" s="262">
        <v>5.0498300000000003E-2</v>
      </c>
      <c r="J282" s="262">
        <v>5.0999999999999997E-2</v>
      </c>
      <c r="K282" s="265">
        <f>12485000000000/1000000</f>
        <v>12485000</v>
      </c>
      <c r="L282" s="269">
        <v>3000000</v>
      </c>
      <c r="M282" s="263">
        <f t="shared" si="24"/>
        <v>4.1616666666666671</v>
      </c>
    </row>
    <row r="283" spans="1:13" s="224" customFormat="1" ht="12.75" customHeight="1" outlineLevel="1" x14ac:dyDescent="0.2">
      <c r="A283" s="202"/>
      <c r="B283" s="202"/>
      <c r="C283" s="202"/>
      <c r="D283" s="268" t="s">
        <v>35</v>
      </c>
      <c r="E283" s="264">
        <v>44696</v>
      </c>
      <c r="F283" s="261">
        <v>7.0000000000000007E-2</v>
      </c>
      <c r="G283" s="261">
        <v>5.9499999999999997E-2</v>
      </c>
      <c r="H283" s="261">
        <v>6.0999999999999999E-2</v>
      </c>
      <c r="I283" s="262">
        <v>5.9991799999999998E-2</v>
      </c>
      <c r="J283" s="262">
        <v>6.0100000000000001E-2</v>
      </c>
      <c r="K283" s="265">
        <f>7753000000000/1000000</f>
        <v>7753000</v>
      </c>
      <c r="L283" s="269">
        <v>1650000</v>
      </c>
      <c r="M283" s="263">
        <f t="shared" si="24"/>
        <v>4.6987878787878792</v>
      </c>
    </row>
    <row r="284" spans="1:13" s="224" customFormat="1" ht="12.75" customHeight="1" outlineLevel="1" x14ac:dyDescent="0.2">
      <c r="A284" s="202"/>
      <c r="B284" s="202"/>
      <c r="C284" s="202"/>
      <c r="D284" s="268" t="s">
        <v>43</v>
      </c>
      <c r="E284" s="264">
        <v>46522</v>
      </c>
      <c r="F284" s="261">
        <v>7.0000000000000007E-2</v>
      </c>
      <c r="G284" s="261">
        <v>6.4000000000000001E-2</v>
      </c>
      <c r="H284" s="261">
        <v>6.6500000000000004E-2</v>
      </c>
      <c r="I284" s="262">
        <v>6.4399700000000004E-2</v>
      </c>
      <c r="J284" s="262">
        <v>6.4500000000000002E-2</v>
      </c>
      <c r="K284" s="265">
        <f>10429500000000/1000000</f>
        <v>10429500</v>
      </c>
      <c r="L284" s="269">
        <v>2650000</v>
      </c>
      <c r="M284" s="263">
        <f t="shared" si="24"/>
        <v>3.9356603773584906</v>
      </c>
    </row>
    <row r="285" spans="1:13" s="224" customFormat="1" ht="12.75" customHeight="1" outlineLevel="1" x14ac:dyDescent="0.2">
      <c r="A285" s="202"/>
      <c r="B285" s="202"/>
      <c r="C285" s="202"/>
      <c r="D285" s="268" t="s">
        <v>225</v>
      </c>
      <c r="E285" s="264">
        <v>50540</v>
      </c>
      <c r="F285" s="261">
        <v>7.4999999999999997E-2</v>
      </c>
      <c r="G285" s="261">
        <v>7.0999999999999994E-2</v>
      </c>
      <c r="H285" s="261">
        <v>7.3499999999999996E-2</v>
      </c>
      <c r="I285" s="262">
        <v>7.1699399999999996E-2</v>
      </c>
      <c r="J285" s="262">
        <v>7.1900000000000006E-2</v>
      </c>
      <c r="K285" s="265">
        <f>4367000000000/1000000</f>
        <v>4367000</v>
      </c>
      <c r="L285" s="269">
        <v>2400000</v>
      </c>
      <c r="M285" s="263">
        <f t="shared" si="24"/>
        <v>1.8195833333333333</v>
      </c>
    </row>
    <row r="286" spans="1:13" s="224" customFormat="1" ht="12.75" customHeight="1" outlineLevel="1" x14ac:dyDescent="0.2">
      <c r="A286" s="202"/>
      <c r="B286" s="202"/>
      <c r="C286" s="202"/>
      <c r="D286" s="268" t="s">
        <v>234</v>
      </c>
      <c r="E286" s="264">
        <v>54193</v>
      </c>
      <c r="F286" s="261">
        <v>7.3749999999999996E-2</v>
      </c>
      <c r="G286" s="261">
        <v>7.4099999999999999E-2</v>
      </c>
      <c r="H286" s="261">
        <v>7.8E-2</v>
      </c>
      <c r="I286" s="261">
        <v>7.4970800000000004E-2</v>
      </c>
      <c r="J286" s="262">
        <v>7.5399999999999995E-2</v>
      </c>
      <c r="K286" s="265">
        <f>6076500000000/1000000</f>
        <v>6076500</v>
      </c>
      <c r="L286" s="254">
        <v>2800000</v>
      </c>
      <c r="M286" s="263">
        <f t="shared" si="24"/>
        <v>2.1701785714285715</v>
      </c>
    </row>
    <row r="287" spans="1:13" s="224" customFormat="1" ht="12.75" customHeight="1" outlineLevel="1" x14ac:dyDescent="0.2">
      <c r="A287" s="297" t="s">
        <v>124</v>
      </c>
      <c r="B287" s="298"/>
      <c r="C287" s="298"/>
      <c r="D287" s="298"/>
      <c r="E287" s="298"/>
      <c r="F287" s="298"/>
      <c r="G287" s="298"/>
      <c r="H287" s="298"/>
      <c r="I287" s="298"/>
      <c r="J287" s="299"/>
      <c r="K287" s="266">
        <f>SUM(K281:K286)</f>
        <v>52411000</v>
      </c>
      <c r="L287" s="266">
        <f>SUM(L281:L286)</f>
        <v>17500000</v>
      </c>
      <c r="M287" s="267"/>
    </row>
    <row r="288" spans="1:13" s="224" customFormat="1" ht="12.75" customHeight="1" outlineLevel="1" x14ac:dyDescent="0.2">
      <c r="A288" s="215">
        <v>43004</v>
      </c>
      <c r="B288" s="215">
        <v>43006</v>
      </c>
      <c r="C288" s="215" t="s">
        <v>127</v>
      </c>
      <c r="D288" s="259" t="s">
        <v>232</v>
      </c>
      <c r="E288" s="264">
        <v>43172</v>
      </c>
      <c r="F288" s="261" t="s">
        <v>138</v>
      </c>
      <c r="G288" s="261">
        <v>4.6249999999999999E-2</v>
      </c>
      <c r="H288" s="261">
        <v>5.1249999999999997E-2</v>
      </c>
      <c r="I288" s="262">
        <v>4.6890599999999998E-2</v>
      </c>
      <c r="J288" s="262"/>
      <c r="K288" s="265">
        <v>6650000</v>
      </c>
      <c r="L288" s="265">
        <v>2000000</v>
      </c>
      <c r="M288" s="263">
        <f t="shared" ref="M288:M291" si="25">K288/L288</f>
        <v>3.3250000000000002</v>
      </c>
    </row>
    <row r="289" spans="1:16" s="224" customFormat="1" ht="12.75" customHeight="1" outlineLevel="1" x14ac:dyDescent="0.2">
      <c r="A289" s="172"/>
      <c r="B289" s="172"/>
      <c r="C289" s="172"/>
      <c r="D289" s="268" t="s">
        <v>150</v>
      </c>
      <c r="E289" s="264">
        <v>43600</v>
      </c>
      <c r="F289" s="261">
        <v>6.25E-2</v>
      </c>
      <c r="G289" s="261">
        <v>5.5937500000000001E-2</v>
      </c>
      <c r="H289" s="261">
        <v>6.1249999999999999E-2</v>
      </c>
      <c r="I289" s="262">
        <v>5.7189299999999998E-2</v>
      </c>
      <c r="J289" s="262"/>
      <c r="K289" s="269">
        <v>7763000</v>
      </c>
      <c r="L289" s="269">
        <v>1250000</v>
      </c>
      <c r="M289" s="263">
        <f t="shared" si="25"/>
        <v>6.2103999999999999</v>
      </c>
    </row>
    <row r="290" spans="1:16" s="224" customFormat="1" ht="12.75" customHeight="1" outlineLevel="1" x14ac:dyDescent="0.2">
      <c r="A290" s="202"/>
      <c r="B290" s="202"/>
      <c r="C290" s="202"/>
      <c r="D290" s="268" t="s">
        <v>151</v>
      </c>
      <c r="E290" s="264">
        <v>44331</v>
      </c>
      <c r="F290" s="261">
        <v>6.5000000000000002E-2</v>
      </c>
      <c r="G290" s="261">
        <v>5.9062499999999997E-2</v>
      </c>
      <c r="H290" s="261">
        <v>6.3437499999999994E-2</v>
      </c>
      <c r="I290" s="262">
        <v>5.9917600000000001E-2</v>
      </c>
      <c r="J290" s="262"/>
      <c r="K290" s="269">
        <v>5010000</v>
      </c>
      <c r="L290" s="269">
        <v>1820000</v>
      </c>
      <c r="M290" s="263">
        <f t="shared" si="25"/>
        <v>2.7527472527472527</v>
      </c>
    </row>
    <row r="291" spans="1:16" s="224" customFormat="1" ht="12.75" customHeight="1" outlineLevel="1" x14ac:dyDescent="0.2">
      <c r="A291" s="202"/>
      <c r="B291" s="202"/>
      <c r="C291" s="202"/>
      <c r="D291" s="268" t="s">
        <v>122</v>
      </c>
      <c r="E291" s="264">
        <v>45153</v>
      </c>
      <c r="F291" s="261">
        <v>8.7499999999999994E-2</v>
      </c>
      <c r="G291" s="261">
        <v>6.4062499999999994E-2</v>
      </c>
      <c r="H291" s="261">
        <v>6.8125000000000005E-2</v>
      </c>
      <c r="I291" s="261">
        <v>6.4397999999999997E-2</v>
      </c>
      <c r="J291" s="262"/>
      <c r="K291" s="269">
        <v>4848600</v>
      </c>
      <c r="L291" s="254">
        <v>1650000</v>
      </c>
      <c r="M291" s="263">
        <f t="shared" si="25"/>
        <v>2.9385454545454546</v>
      </c>
    </row>
    <row r="292" spans="1:16" s="224" customFormat="1" ht="12.75" customHeight="1" outlineLevel="1" x14ac:dyDescent="0.2">
      <c r="A292" s="202"/>
      <c r="B292" s="202"/>
      <c r="C292" s="202"/>
      <c r="D292" s="268" t="s">
        <v>123</v>
      </c>
      <c r="E292" s="264">
        <v>48167</v>
      </c>
      <c r="F292" s="261">
        <v>8.8749999999999996E-2</v>
      </c>
      <c r="G292" s="261">
        <v>7.1249999999999994E-2</v>
      </c>
      <c r="H292" s="261">
        <v>7.4062500000000003E-2</v>
      </c>
      <c r="I292" s="261">
        <v>7.2185899999999997E-2</v>
      </c>
      <c r="J292" s="262"/>
      <c r="K292" s="254">
        <v>2129000</v>
      </c>
      <c r="L292" s="254">
        <v>280000</v>
      </c>
      <c r="M292" s="263">
        <f>K292/L292</f>
        <v>7.6035714285714286</v>
      </c>
    </row>
    <row r="293" spans="1:16" s="224" customFormat="1" ht="12.75" customHeight="1" outlineLevel="1" x14ac:dyDescent="0.2">
      <c r="A293" s="297" t="s">
        <v>124</v>
      </c>
      <c r="B293" s="298"/>
      <c r="C293" s="298"/>
      <c r="D293" s="298"/>
      <c r="E293" s="298"/>
      <c r="F293" s="298"/>
      <c r="G293" s="298"/>
      <c r="H293" s="298"/>
      <c r="I293" s="298"/>
      <c r="J293" s="299"/>
      <c r="K293" s="266">
        <f>SUM(K288:K292)</f>
        <v>26400600</v>
      </c>
      <c r="L293" s="266">
        <f>SUM(L288:L292)</f>
        <v>7000000</v>
      </c>
      <c r="M293" s="267"/>
    </row>
    <row r="294" spans="1:16" s="223" customFormat="1" ht="12.75" customHeight="1" x14ac:dyDescent="0.2">
      <c r="A294" s="300" t="s">
        <v>228</v>
      </c>
      <c r="B294" s="301"/>
      <c r="C294" s="301"/>
      <c r="D294" s="301"/>
      <c r="E294" s="301"/>
      <c r="F294" s="301"/>
      <c r="G294" s="301"/>
      <c r="H294" s="301"/>
      <c r="I294" s="301"/>
      <c r="J294" s="302"/>
      <c r="K294" s="258">
        <f>SUM(K268,K274,K280,K287,K293)</f>
        <v>163431200</v>
      </c>
      <c r="L294" s="258">
        <f>SUM(L268,L274,L280,L287,L293)</f>
        <v>49000000</v>
      </c>
      <c r="M294" s="255"/>
      <c r="O294" s="253"/>
      <c r="P294" s="251"/>
    </row>
    <row r="295" spans="1:16" s="223" customFormat="1" ht="12.75" customHeight="1" x14ac:dyDescent="0.2">
      <c r="A295" s="300" t="s">
        <v>240</v>
      </c>
      <c r="B295" s="301"/>
      <c r="C295" s="301"/>
      <c r="D295" s="301"/>
      <c r="E295" s="301"/>
      <c r="F295" s="301"/>
      <c r="G295" s="301"/>
      <c r="H295" s="301"/>
      <c r="I295" s="301"/>
      <c r="J295" s="302"/>
      <c r="K295" s="258">
        <f>SUM(K266,K268,K274,K280,K287,K293)</f>
        <v>1457436205.01</v>
      </c>
      <c r="L295" s="258">
        <f>SUM(L266,L268,L274,L280,L287,L293)</f>
        <v>591288745.25</v>
      </c>
      <c r="M295" s="255"/>
      <c r="O295" s="253"/>
      <c r="P295" s="251"/>
    </row>
    <row r="296" spans="1:16" s="224" customFormat="1" ht="12.75" customHeight="1" outlineLevel="1" x14ac:dyDescent="0.2">
      <c r="A296" s="215">
        <v>43011</v>
      </c>
      <c r="B296" s="215">
        <v>43013</v>
      </c>
      <c r="C296" s="215" t="s">
        <v>127</v>
      </c>
      <c r="D296" s="259" t="s">
        <v>147</v>
      </c>
      <c r="E296" s="264">
        <v>43104</v>
      </c>
      <c r="F296" s="261" t="s">
        <v>138</v>
      </c>
      <c r="G296" s="261">
        <v>4.3999999999999997E-2</v>
      </c>
      <c r="H296" s="261">
        <v>5.2499999999999998E-2</v>
      </c>
      <c r="I296" s="262">
        <v>4.68019E-2</v>
      </c>
      <c r="J296" s="262">
        <v>4.7600000000000003E-2</v>
      </c>
      <c r="K296" s="265">
        <f>6075000000000/1000000</f>
        <v>6075000</v>
      </c>
      <c r="L296" s="265">
        <v>5000000</v>
      </c>
      <c r="M296" s="263">
        <f t="shared" ref="M296:M300" si="26">K296/L296</f>
        <v>1.2150000000000001</v>
      </c>
    </row>
    <row r="297" spans="1:16" s="224" customFormat="1" ht="12.75" customHeight="1" outlineLevel="1" x14ac:dyDescent="0.2">
      <c r="A297" s="172"/>
      <c r="B297" s="172"/>
      <c r="C297" s="172"/>
      <c r="D297" s="268" t="s">
        <v>235</v>
      </c>
      <c r="E297" s="264">
        <v>43377</v>
      </c>
      <c r="F297" s="261" t="s">
        <v>138</v>
      </c>
      <c r="G297" s="261">
        <v>5.0999999999999997E-2</v>
      </c>
      <c r="H297" s="261">
        <v>5.6399999999999999E-2</v>
      </c>
      <c r="I297" s="262">
        <v>5.1616700000000001E-2</v>
      </c>
      <c r="J297" s="262">
        <v>5.1999999999999998E-2</v>
      </c>
      <c r="K297" s="265">
        <f>7700000000000/1000000</f>
        <v>7700000</v>
      </c>
      <c r="L297" s="269">
        <v>3000000</v>
      </c>
      <c r="M297" s="263">
        <f t="shared" si="26"/>
        <v>2.5666666666666669</v>
      </c>
    </row>
    <row r="298" spans="1:16" s="224" customFormat="1" ht="12.75" customHeight="1" outlineLevel="1" x14ac:dyDescent="0.2">
      <c r="A298" s="202"/>
      <c r="B298" s="202"/>
      <c r="C298" s="202"/>
      <c r="D298" s="268" t="s">
        <v>35</v>
      </c>
      <c r="E298" s="264">
        <v>44696</v>
      </c>
      <c r="F298" s="261">
        <v>7.0000000000000007E-2</v>
      </c>
      <c r="G298" s="261">
        <v>6.1100000000000002E-2</v>
      </c>
      <c r="H298" s="261">
        <v>6.3E-2</v>
      </c>
      <c r="I298" s="262">
        <v>6.1796200000000003E-2</v>
      </c>
      <c r="J298" s="262">
        <v>6.1800000000000001E-2</v>
      </c>
      <c r="K298" s="265">
        <f>9232000000000/1000000</f>
        <v>9232000</v>
      </c>
      <c r="L298" s="269">
        <v>1550000</v>
      </c>
      <c r="M298" s="263">
        <f t="shared" si="26"/>
        <v>5.9561290322580644</v>
      </c>
    </row>
    <row r="299" spans="1:16" s="224" customFormat="1" ht="12.75" customHeight="1" outlineLevel="1" x14ac:dyDescent="0.2">
      <c r="A299" s="202"/>
      <c r="B299" s="202"/>
      <c r="C299" s="202"/>
      <c r="D299" s="268" t="s">
        <v>140</v>
      </c>
      <c r="E299" s="264">
        <v>48441</v>
      </c>
      <c r="F299" s="261">
        <v>7.4999999999999997E-2</v>
      </c>
      <c r="G299" s="261">
        <v>7.0300000000000001E-2</v>
      </c>
      <c r="H299" s="261">
        <v>7.1300000000000002E-2</v>
      </c>
      <c r="I299" s="262">
        <v>7.0499300000000001E-2</v>
      </c>
      <c r="J299" s="262">
        <v>7.0699999999999999E-2</v>
      </c>
      <c r="K299" s="265">
        <f>5359300000000/1000000</f>
        <v>5359300</v>
      </c>
      <c r="L299" s="269">
        <v>3650000</v>
      </c>
      <c r="M299" s="263">
        <f t="shared" si="26"/>
        <v>1.4683013698630136</v>
      </c>
    </row>
    <row r="300" spans="1:16" s="224" customFormat="1" ht="12.75" customHeight="1" outlineLevel="1" x14ac:dyDescent="0.2">
      <c r="A300" s="202"/>
      <c r="B300" s="202"/>
      <c r="C300" s="202"/>
      <c r="D300" s="268" t="s">
        <v>225</v>
      </c>
      <c r="E300" s="264">
        <v>50540</v>
      </c>
      <c r="F300" s="261">
        <v>7.4999999999999997E-2</v>
      </c>
      <c r="G300" s="261">
        <v>7.1900000000000006E-2</v>
      </c>
      <c r="H300" s="261">
        <v>7.4499999999999997E-2</v>
      </c>
      <c r="I300" s="262">
        <v>7.2398699999999996E-2</v>
      </c>
      <c r="J300" s="262">
        <v>7.2800000000000004E-2</v>
      </c>
      <c r="K300" s="265">
        <f>5778200000000/1000000</f>
        <v>5778200</v>
      </c>
      <c r="L300" s="269">
        <v>4650000</v>
      </c>
      <c r="M300" s="263">
        <f t="shared" si="26"/>
        <v>1.2426236559139785</v>
      </c>
    </row>
    <row r="301" spans="1:16" s="224" customFormat="1" ht="12.75" customHeight="1" outlineLevel="1" x14ac:dyDescent="0.2">
      <c r="A301" s="297" t="s">
        <v>124</v>
      </c>
      <c r="B301" s="298"/>
      <c r="C301" s="298"/>
      <c r="D301" s="298"/>
      <c r="E301" s="298"/>
      <c r="F301" s="298"/>
      <c r="G301" s="298"/>
      <c r="H301" s="298"/>
      <c r="I301" s="298"/>
      <c r="J301" s="299"/>
      <c r="K301" s="266">
        <f>SUM(K296:K300)</f>
        <v>34144500</v>
      </c>
      <c r="L301" s="266">
        <f>SUM(L296:L300)</f>
        <v>17850000</v>
      </c>
      <c r="M301" s="267"/>
    </row>
    <row r="302" spans="1:16" s="223" customFormat="1" ht="12.75" customHeight="1" x14ac:dyDescent="0.2">
      <c r="A302" s="215">
        <v>43018</v>
      </c>
      <c r="B302" s="215">
        <v>43020</v>
      </c>
      <c r="C302" s="215" t="s">
        <v>127</v>
      </c>
      <c r="D302" s="259" t="s">
        <v>237</v>
      </c>
      <c r="E302" s="264">
        <v>43201</v>
      </c>
      <c r="F302" s="261" t="s">
        <v>138</v>
      </c>
      <c r="G302" s="261">
        <v>4.5937499999999999E-2</v>
      </c>
      <c r="H302" s="261">
        <v>5.2499999999999998E-2</v>
      </c>
      <c r="I302" s="262">
        <v>4.6359400000000002E-2</v>
      </c>
      <c r="J302" s="262"/>
      <c r="K302" s="265">
        <v>6077000</v>
      </c>
      <c r="L302" s="265">
        <v>2000000</v>
      </c>
      <c r="M302" s="263">
        <f t="shared" ref="M302:M305" si="27">K302/L302</f>
        <v>3.0385</v>
      </c>
    </row>
    <row r="303" spans="1:16" s="223" customFormat="1" ht="12.75" customHeight="1" x14ac:dyDescent="0.2">
      <c r="A303" s="172"/>
      <c r="B303" s="172"/>
      <c r="C303" s="172"/>
      <c r="D303" s="268" t="s">
        <v>150</v>
      </c>
      <c r="E303" s="264">
        <v>43600</v>
      </c>
      <c r="F303" s="261">
        <v>6.25E-2</v>
      </c>
      <c r="G303" s="261">
        <v>5.8125000000000003E-2</v>
      </c>
      <c r="H303" s="261">
        <v>6.25E-2</v>
      </c>
      <c r="I303" s="262">
        <v>5.83568E-2</v>
      </c>
      <c r="J303" s="262"/>
      <c r="K303" s="269">
        <v>5719000</v>
      </c>
      <c r="L303" s="269">
        <v>2000000</v>
      </c>
      <c r="M303" s="263">
        <f t="shared" si="27"/>
        <v>2.8595000000000002</v>
      </c>
    </row>
    <row r="304" spans="1:16" s="223" customFormat="1" ht="12.75" customHeight="1" x14ac:dyDescent="0.2">
      <c r="A304" s="202"/>
      <c r="B304" s="202"/>
      <c r="C304" s="202"/>
      <c r="D304" s="268" t="s">
        <v>151</v>
      </c>
      <c r="E304" s="264">
        <v>44331</v>
      </c>
      <c r="F304" s="261">
        <v>6.5000000000000002E-2</v>
      </c>
      <c r="G304" s="261">
        <v>6.1562499999999999E-2</v>
      </c>
      <c r="H304" s="261">
        <v>6.3750000000000001E-2</v>
      </c>
      <c r="I304" s="262">
        <v>6.2696799999999997E-2</v>
      </c>
      <c r="J304" s="262"/>
      <c r="K304" s="269">
        <v>2324000</v>
      </c>
      <c r="L304" s="269">
        <v>2000000</v>
      </c>
      <c r="M304" s="263">
        <f t="shared" si="27"/>
        <v>1.1619999999999999</v>
      </c>
    </row>
    <row r="305" spans="1:13" s="223" customFormat="1" ht="12.75" customHeight="1" x14ac:dyDescent="0.2">
      <c r="A305" s="202"/>
      <c r="B305" s="202"/>
      <c r="C305" s="202"/>
      <c r="D305" s="268" t="s">
        <v>122</v>
      </c>
      <c r="E305" s="264">
        <v>45153</v>
      </c>
      <c r="F305" s="261">
        <v>8.7499999999999994E-2</v>
      </c>
      <c r="G305" s="261">
        <v>6.4062499999999994E-2</v>
      </c>
      <c r="H305" s="261">
        <v>6.8125000000000005E-2</v>
      </c>
      <c r="I305" s="261">
        <v>6.5039899999999998E-2</v>
      </c>
      <c r="J305" s="262"/>
      <c r="K305" s="269">
        <v>2060500</v>
      </c>
      <c r="L305" s="254">
        <v>1000000</v>
      </c>
      <c r="M305" s="263">
        <f t="shared" si="27"/>
        <v>2.0605000000000002</v>
      </c>
    </row>
    <row r="306" spans="1:13" s="223" customFormat="1" ht="12.75" customHeight="1" x14ac:dyDescent="0.2">
      <c r="A306" s="202"/>
      <c r="B306" s="202"/>
      <c r="C306" s="202"/>
      <c r="D306" s="268" t="s">
        <v>123</v>
      </c>
      <c r="E306" s="264">
        <v>48167</v>
      </c>
      <c r="F306" s="261">
        <v>8.8749999999999996E-2</v>
      </c>
      <c r="G306" s="261">
        <v>7.2499999999999995E-2</v>
      </c>
      <c r="H306" s="261">
        <v>7.6874999999999999E-2</v>
      </c>
      <c r="I306" s="283" t="s">
        <v>194</v>
      </c>
      <c r="J306" s="262"/>
      <c r="K306" s="254">
        <v>1138700</v>
      </c>
      <c r="L306" s="191" t="s">
        <v>194</v>
      </c>
      <c r="M306" s="284" t="s">
        <v>194</v>
      </c>
    </row>
    <row r="307" spans="1:13" s="223" customFormat="1" ht="12.75" customHeight="1" x14ac:dyDescent="0.2">
      <c r="A307" s="297" t="s">
        <v>124</v>
      </c>
      <c r="B307" s="298"/>
      <c r="C307" s="298"/>
      <c r="D307" s="298"/>
      <c r="E307" s="298"/>
      <c r="F307" s="298"/>
      <c r="G307" s="298"/>
      <c r="H307" s="298"/>
      <c r="I307" s="298"/>
      <c r="J307" s="299"/>
      <c r="K307" s="266">
        <f>SUM(K302:K306)</f>
        <v>17319200</v>
      </c>
      <c r="L307" s="266">
        <f>SUM(L302:L306)</f>
        <v>7000000</v>
      </c>
      <c r="M307" s="267"/>
    </row>
    <row r="308" spans="1:13" s="224" customFormat="1" ht="12.75" customHeight="1" outlineLevel="1" x14ac:dyDescent="0.2">
      <c r="A308" s="215">
        <v>43025</v>
      </c>
      <c r="B308" s="215">
        <v>43027</v>
      </c>
      <c r="C308" s="215" t="s">
        <v>127</v>
      </c>
      <c r="D308" s="259" t="s">
        <v>238</v>
      </c>
      <c r="E308" s="264">
        <v>43118</v>
      </c>
      <c r="F308" s="261" t="s">
        <v>138</v>
      </c>
      <c r="G308" s="261">
        <v>4.65E-2</v>
      </c>
      <c r="H308" s="261">
        <v>0.05</v>
      </c>
      <c r="I308" s="262">
        <v>4.7399700000000003E-2</v>
      </c>
      <c r="J308" s="262">
        <v>4.7899999999999998E-2</v>
      </c>
      <c r="K308" s="265">
        <f>5520000000000/1000000</f>
        <v>5520000</v>
      </c>
      <c r="L308" s="265">
        <v>3650000</v>
      </c>
      <c r="M308" s="263">
        <f t="shared" ref="M308:M313" si="28">K308/L308</f>
        <v>1.5123287671232877</v>
      </c>
    </row>
    <row r="309" spans="1:13" s="224" customFormat="1" ht="12.75" customHeight="1" outlineLevel="1" x14ac:dyDescent="0.2">
      <c r="A309" s="172"/>
      <c r="B309" s="172"/>
      <c r="C309" s="172"/>
      <c r="D309" s="268" t="s">
        <v>235</v>
      </c>
      <c r="E309" s="264">
        <v>43377</v>
      </c>
      <c r="F309" s="261" t="s">
        <v>138</v>
      </c>
      <c r="G309" s="261">
        <v>5.0999999999999997E-2</v>
      </c>
      <c r="H309" s="261">
        <v>5.3999999999999999E-2</v>
      </c>
      <c r="I309" s="262">
        <v>5.1761700000000001E-2</v>
      </c>
      <c r="J309" s="262">
        <v>5.2400000000000002E-2</v>
      </c>
      <c r="K309" s="265">
        <f>5550000000000/1000000</f>
        <v>5550000</v>
      </c>
      <c r="L309" s="269">
        <v>3000000</v>
      </c>
      <c r="M309" s="263">
        <f t="shared" si="28"/>
        <v>1.85</v>
      </c>
    </row>
    <row r="310" spans="1:13" s="224" customFormat="1" ht="12.75" customHeight="1" outlineLevel="1" x14ac:dyDescent="0.2">
      <c r="A310" s="202"/>
      <c r="B310" s="202"/>
      <c r="C310" s="202"/>
      <c r="D310" s="268" t="s">
        <v>35</v>
      </c>
      <c r="E310" s="264">
        <v>44696</v>
      </c>
      <c r="F310" s="261">
        <v>7.0000000000000007E-2</v>
      </c>
      <c r="G310" s="261">
        <v>6.1499999999999999E-2</v>
      </c>
      <c r="H310" s="261">
        <v>6.3E-2</v>
      </c>
      <c r="I310" s="262">
        <v>6.1955900000000001E-2</v>
      </c>
      <c r="J310" s="262">
        <v>6.2100000000000002E-2</v>
      </c>
      <c r="K310" s="265">
        <f>10435000000000/1000000</f>
        <v>10435000</v>
      </c>
      <c r="L310" s="269">
        <v>6550000</v>
      </c>
      <c r="M310" s="263">
        <f t="shared" si="28"/>
        <v>1.5931297709923664</v>
      </c>
    </row>
    <row r="311" spans="1:13" s="224" customFormat="1" ht="12.75" customHeight="1" outlineLevel="1" x14ac:dyDescent="0.2">
      <c r="A311" s="202"/>
      <c r="B311" s="202"/>
      <c r="C311" s="202"/>
      <c r="D311" s="268" t="s">
        <v>43</v>
      </c>
      <c r="E311" s="264">
        <v>46522</v>
      </c>
      <c r="F311" s="261">
        <v>7.0000000000000007E-2</v>
      </c>
      <c r="G311" s="261">
        <v>6.4500000000000002E-2</v>
      </c>
      <c r="H311" s="261">
        <v>6.6500000000000004E-2</v>
      </c>
      <c r="I311" s="262">
        <v>6.5698099999999995E-2</v>
      </c>
      <c r="J311" s="262">
        <v>6.6000000000000003E-2</v>
      </c>
      <c r="K311" s="265">
        <f>5729600000000/1000000</f>
        <v>5729600</v>
      </c>
      <c r="L311" s="269">
        <v>5200000</v>
      </c>
      <c r="M311" s="263">
        <f t="shared" si="28"/>
        <v>1.1018461538461539</v>
      </c>
    </row>
    <row r="312" spans="1:13" s="224" customFormat="1" ht="12.75" customHeight="1" outlineLevel="1" x14ac:dyDescent="0.2">
      <c r="A312" s="202"/>
      <c r="B312" s="202"/>
      <c r="C312" s="202"/>
      <c r="D312" s="268" t="s">
        <v>225</v>
      </c>
      <c r="E312" s="264">
        <v>50540</v>
      </c>
      <c r="F312" s="261">
        <v>7.4999999999999997E-2</v>
      </c>
      <c r="G312" s="261">
        <v>7.2300000000000003E-2</v>
      </c>
      <c r="H312" s="261">
        <v>7.3499999999999996E-2</v>
      </c>
      <c r="I312" s="262">
        <v>7.2698499999999999E-2</v>
      </c>
      <c r="J312" s="262">
        <v>7.2800000000000004E-2</v>
      </c>
      <c r="K312" s="265">
        <f>5668000000000/1000000</f>
        <v>5668000</v>
      </c>
      <c r="L312" s="269">
        <v>2850000</v>
      </c>
      <c r="M312" s="263">
        <f t="shared" si="28"/>
        <v>1.9887719298245614</v>
      </c>
    </row>
    <row r="313" spans="1:13" s="224" customFormat="1" ht="12.75" customHeight="1" outlineLevel="1" x14ac:dyDescent="0.2">
      <c r="A313" s="202"/>
      <c r="B313" s="202"/>
      <c r="C313" s="202"/>
      <c r="D313" s="268" t="s">
        <v>234</v>
      </c>
      <c r="E313" s="264">
        <v>54193</v>
      </c>
      <c r="F313" s="261">
        <v>7.3749999999999996E-2</v>
      </c>
      <c r="G313" s="261">
        <v>7.2300000000000003E-2</v>
      </c>
      <c r="H313" s="261">
        <v>7.4999999999999997E-2</v>
      </c>
      <c r="I313" s="261">
        <v>7.2971300000000003E-2</v>
      </c>
      <c r="J313" s="262">
        <v>7.3099999999999998E-2</v>
      </c>
      <c r="K313" s="265">
        <f>2040200000000/1000000</f>
        <v>2040200</v>
      </c>
      <c r="L313" s="254">
        <v>1250000</v>
      </c>
      <c r="M313" s="263">
        <f t="shared" si="28"/>
        <v>1.6321600000000001</v>
      </c>
    </row>
    <row r="314" spans="1:13" s="224" customFormat="1" ht="12.75" customHeight="1" outlineLevel="1" x14ac:dyDescent="0.2">
      <c r="A314" s="297" t="s">
        <v>124</v>
      </c>
      <c r="B314" s="298"/>
      <c r="C314" s="298"/>
      <c r="D314" s="298"/>
      <c r="E314" s="298"/>
      <c r="F314" s="298"/>
      <c r="G314" s="298"/>
      <c r="H314" s="298"/>
      <c r="I314" s="298"/>
      <c r="J314" s="299"/>
      <c r="K314" s="266">
        <f>SUM(K308:K313)</f>
        <v>34942800</v>
      </c>
      <c r="L314" s="266">
        <f>SUM(L308:L313)</f>
        <v>22500000</v>
      </c>
      <c r="M314" s="267"/>
    </row>
    <row r="315" spans="1:13" s="224" customFormat="1" ht="12.75" customHeight="1" outlineLevel="1" x14ac:dyDescent="0.2">
      <c r="A315" s="229">
        <v>43007</v>
      </c>
      <c r="B315" s="229">
        <v>43034</v>
      </c>
      <c r="C315" s="230" t="s">
        <v>126</v>
      </c>
      <c r="D315" s="231" t="s">
        <v>243</v>
      </c>
      <c r="E315" s="232">
        <v>44119</v>
      </c>
      <c r="F315" s="233">
        <v>5.8500000000000003E-2</v>
      </c>
      <c r="G315" s="233"/>
      <c r="H315" s="233"/>
      <c r="I315" s="233"/>
      <c r="J315" s="233"/>
      <c r="K315" s="234">
        <v>8975810</v>
      </c>
      <c r="L315" s="234">
        <v>8948660</v>
      </c>
      <c r="M315" s="263">
        <f>K315/L315</f>
        <v>1.0030339738016643</v>
      </c>
    </row>
    <row r="316" spans="1:13" s="224" customFormat="1" ht="12.75" customHeight="1" outlineLevel="1" x14ac:dyDescent="0.2">
      <c r="A316" s="297" t="s">
        <v>124</v>
      </c>
      <c r="B316" s="298"/>
      <c r="C316" s="298"/>
      <c r="D316" s="298"/>
      <c r="E316" s="298"/>
      <c r="F316" s="298"/>
      <c r="G316" s="298"/>
      <c r="H316" s="298"/>
      <c r="I316" s="298"/>
      <c r="J316" s="299"/>
      <c r="K316" s="234">
        <v>8975810</v>
      </c>
      <c r="L316" s="234">
        <v>8948660</v>
      </c>
      <c r="M316" s="267"/>
    </row>
    <row r="317" spans="1:13" s="223" customFormat="1" ht="12.75" customHeight="1" x14ac:dyDescent="0.2">
      <c r="A317" s="215">
        <v>43032</v>
      </c>
      <c r="B317" s="215">
        <v>43034</v>
      </c>
      <c r="C317" s="215" t="s">
        <v>127</v>
      </c>
      <c r="D317" s="259" t="s">
        <v>237</v>
      </c>
      <c r="E317" s="264">
        <v>43201</v>
      </c>
      <c r="F317" s="261" t="s">
        <v>138</v>
      </c>
      <c r="G317" s="261">
        <v>4.6249999999999999E-2</v>
      </c>
      <c r="H317" s="261">
        <v>5.7500000000000002E-2</v>
      </c>
      <c r="I317" s="262">
        <v>4.79102E-2</v>
      </c>
      <c r="J317" s="262"/>
      <c r="K317" s="265">
        <v>4726000</v>
      </c>
      <c r="L317" s="265">
        <v>1600000</v>
      </c>
      <c r="M317" s="263">
        <f t="shared" ref="M317:M321" si="29">K317/L317</f>
        <v>2.9537499999999999</v>
      </c>
    </row>
    <row r="318" spans="1:13" s="223" customFormat="1" ht="12.75" customHeight="1" x14ac:dyDescent="0.2">
      <c r="A318" s="172"/>
      <c r="B318" s="172"/>
      <c r="C318" s="172"/>
      <c r="D318" s="268" t="s">
        <v>150</v>
      </c>
      <c r="E318" s="264">
        <v>43600</v>
      </c>
      <c r="F318" s="261">
        <v>6.25E-2</v>
      </c>
      <c r="G318" s="261">
        <v>5.8125000000000003E-2</v>
      </c>
      <c r="H318" s="261">
        <v>6.5000000000000002E-2</v>
      </c>
      <c r="I318" s="262">
        <v>5.8856400000000003E-2</v>
      </c>
      <c r="J318" s="262"/>
      <c r="K318" s="269">
        <v>6230000</v>
      </c>
      <c r="L318" s="269">
        <v>3110000</v>
      </c>
      <c r="M318" s="263">
        <f t="shared" si="29"/>
        <v>2.0032154340836015</v>
      </c>
    </row>
    <row r="319" spans="1:13" s="223" customFormat="1" ht="12.75" customHeight="1" x14ac:dyDescent="0.2">
      <c r="A319" s="202"/>
      <c r="B319" s="202"/>
      <c r="C319" s="202"/>
      <c r="D319" s="268" t="s">
        <v>151</v>
      </c>
      <c r="E319" s="264">
        <v>44331</v>
      </c>
      <c r="F319" s="261">
        <v>6.5000000000000002E-2</v>
      </c>
      <c r="G319" s="261">
        <v>6.2812499999999993E-2</v>
      </c>
      <c r="H319" s="261">
        <v>6.5312499999999996E-2</v>
      </c>
      <c r="I319" s="262">
        <v>6.4012299999999994E-2</v>
      </c>
      <c r="J319" s="262"/>
      <c r="K319" s="269">
        <v>1395000</v>
      </c>
      <c r="L319" s="269">
        <v>1200000</v>
      </c>
      <c r="M319" s="263">
        <f t="shared" si="29"/>
        <v>1.1625000000000001</v>
      </c>
    </row>
    <row r="320" spans="1:13" s="223" customFormat="1" ht="12.75" customHeight="1" x14ac:dyDescent="0.2">
      <c r="A320" s="202"/>
      <c r="B320" s="202"/>
      <c r="C320" s="202"/>
      <c r="D320" s="268" t="s">
        <v>122</v>
      </c>
      <c r="E320" s="264">
        <v>45153</v>
      </c>
      <c r="F320" s="261">
        <v>8.7499999999999994E-2</v>
      </c>
      <c r="G320" s="261">
        <v>6.5312499999999996E-2</v>
      </c>
      <c r="H320" s="261">
        <v>6.8125000000000005E-2</v>
      </c>
      <c r="I320" s="261">
        <v>6.6074499999999994E-2</v>
      </c>
      <c r="J320" s="262"/>
      <c r="K320" s="269">
        <v>733100</v>
      </c>
      <c r="L320" s="254">
        <v>370000</v>
      </c>
      <c r="M320" s="263">
        <f t="shared" si="29"/>
        <v>1.9813513513513514</v>
      </c>
    </row>
    <row r="321" spans="1:13" s="223" customFormat="1" ht="12.75" customHeight="1" x14ac:dyDescent="0.2">
      <c r="A321" s="202"/>
      <c r="B321" s="202"/>
      <c r="C321" s="202"/>
      <c r="D321" s="268" t="s">
        <v>123</v>
      </c>
      <c r="E321" s="264">
        <v>48167</v>
      </c>
      <c r="F321" s="261">
        <v>8.8749999999999996E-2</v>
      </c>
      <c r="G321" s="261">
        <v>7.2812500000000002E-2</v>
      </c>
      <c r="H321" s="261">
        <v>7.6249999999999998E-2</v>
      </c>
      <c r="I321" s="283">
        <v>7.4299100000000007E-2</v>
      </c>
      <c r="J321" s="262"/>
      <c r="K321" s="254">
        <v>790600</v>
      </c>
      <c r="L321" s="191">
        <v>720000</v>
      </c>
      <c r="M321" s="263">
        <f t="shared" si="29"/>
        <v>1.0980555555555556</v>
      </c>
    </row>
    <row r="322" spans="1:13" s="223" customFormat="1" ht="12.75" customHeight="1" x14ac:dyDescent="0.2">
      <c r="A322" s="297" t="s">
        <v>124</v>
      </c>
      <c r="B322" s="298"/>
      <c r="C322" s="298"/>
      <c r="D322" s="298"/>
      <c r="E322" s="298"/>
      <c r="F322" s="298"/>
      <c r="G322" s="298"/>
      <c r="H322" s="298"/>
      <c r="I322" s="298"/>
      <c r="J322" s="299"/>
      <c r="K322" s="266">
        <f>SUM(K317:K321)</f>
        <v>13874700</v>
      </c>
      <c r="L322" s="266">
        <f>SUM(L317:L321)</f>
        <v>7000000</v>
      </c>
      <c r="M322" s="267"/>
    </row>
    <row r="323" spans="1:13" s="223" customFormat="1" ht="12.75" customHeight="1" x14ac:dyDescent="0.2">
      <c r="A323" s="300" t="s">
        <v>236</v>
      </c>
      <c r="B323" s="301"/>
      <c r="C323" s="301"/>
      <c r="D323" s="301"/>
      <c r="E323" s="301"/>
      <c r="F323" s="301"/>
      <c r="G323" s="301"/>
      <c r="H323" s="301"/>
      <c r="I323" s="301"/>
      <c r="J323" s="302"/>
      <c r="K323" s="258">
        <f>K301+K307+K314+K322</f>
        <v>100281200</v>
      </c>
      <c r="L323" s="258">
        <f>L301+L307+L314+L322</f>
        <v>54350000</v>
      </c>
      <c r="M323" s="255"/>
    </row>
    <row r="324" spans="1:13" s="223" customFormat="1" ht="12.75" customHeight="1" x14ac:dyDescent="0.2">
      <c r="A324" s="300" t="s">
        <v>239</v>
      </c>
      <c r="B324" s="301"/>
      <c r="C324" s="301"/>
      <c r="D324" s="301"/>
      <c r="E324" s="301"/>
      <c r="F324" s="301"/>
      <c r="G324" s="301"/>
      <c r="H324" s="301"/>
      <c r="I324" s="301"/>
      <c r="J324" s="302"/>
      <c r="K324" s="258">
        <f>SUM(K295,K301,K307,K314,K316,K322)</f>
        <v>1566693215.01</v>
      </c>
      <c r="L324" s="258">
        <f>SUM(L295,L301,L307,L314,L316,L322)</f>
        <v>654587405.25</v>
      </c>
      <c r="M324" s="255"/>
    </row>
    <row r="325" spans="1:13" s="224" customFormat="1" ht="12.75" customHeight="1" outlineLevel="1" x14ac:dyDescent="0.2">
      <c r="A325" s="215">
        <v>43039</v>
      </c>
      <c r="B325" s="215">
        <v>43041</v>
      </c>
      <c r="C325" s="215" t="s">
        <v>127</v>
      </c>
      <c r="D325" s="259" t="s">
        <v>153</v>
      </c>
      <c r="E325" s="264">
        <v>43132</v>
      </c>
      <c r="F325" s="261" t="s">
        <v>138</v>
      </c>
      <c r="G325" s="261">
        <v>4.7E-2</v>
      </c>
      <c r="H325" s="261">
        <v>4.9000000000000002E-2</v>
      </c>
      <c r="I325" s="262">
        <v>4.7995900000000001E-2</v>
      </c>
      <c r="J325" s="262">
        <v>4.8500000000000001E-2</v>
      </c>
      <c r="K325" s="265">
        <f>5150000000000/1000000</f>
        <v>5150000</v>
      </c>
      <c r="L325" s="265">
        <v>4900000</v>
      </c>
      <c r="M325" s="263">
        <f t="shared" ref="M325:M329" si="30">K325/L325</f>
        <v>1.0510204081632653</v>
      </c>
    </row>
    <row r="326" spans="1:13" s="224" customFormat="1" ht="12.75" customHeight="1" outlineLevel="1" x14ac:dyDescent="0.2">
      <c r="A326" s="172"/>
      <c r="B326" s="172"/>
      <c r="C326" s="172"/>
      <c r="D326" s="268" t="s">
        <v>224</v>
      </c>
      <c r="E326" s="264">
        <v>43321</v>
      </c>
      <c r="F326" s="261" t="s">
        <v>138</v>
      </c>
      <c r="G326" s="261">
        <v>5.0999999999999997E-2</v>
      </c>
      <c r="H326" s="261">
        <v>5.4899999999999997E-2</v>
      </c>
      <c r="I326" s="262">
        <v>5.1776999999999997E-2</v>
      </c>
      <c r="J326" s="262">
        <v>5.2299999999999999E-2</v>
      </c>
      <c r="K326" s="265">
        <f>4315000000000/1000000</f>
        <v>4315000</v>
      </c>
      <c r="L326" s="269">
        <v>3000000</v>
      </c>
      <c r="M326" s="263">
        <f t="shared" si="30"/>
        <v>1.4383333333333332</v>
      </c>
    </row>
    <row r="327" spans="1:13" s="224" customFormat="1" ht="12.75" customHeight="1" outlineLevel="1" x14ac:dyDescent="0.2">
      <c r="A327" s="202"/>
      <c r="B327" s="202"/>
      <c r="C327" s="202"/>
      <c r="D327" s="268" t="s">
        <v>35</v>
      </c>
      <c r="E327" s="264">
        <v>44696</v>
      </c>
      <c r="F327" s="261">
        <v>7.0000000000000007E-2</v>
      </c>
      <c r="G327" s="261">
        <v>6.4000000000000001E-2</v>
      </c>
      <c r="H327" s="261">
        <v>6.5500000000000003E-2</v>
      </c>
      <c r="I327" s="262">
        <v>6.4128599999999994E-2</v>
      </c>
      <c r="J327" s="262">
        <v>6.4299999999999996E-2</v>
      </c>
      <c r="K327" s="265">
        <f>7035000000000/1000000</f>
        <v>7035000</v>
      </c>
      <c r="L327" s="269">
        <v>3200000</v>
      </c>
      <c r="M327" s="263">
        <f t="shared" si="30"/>
        <v>2.1984374999999998</v>
      </c>
    </row>
    <row r="328" spans="1:13" s="224" customFormat="1" ht="12.75" customHeight="1" outlineLevel="1" x14ac:dyDescent="0.2">
      <c r="A328" s="202"/>
      <c r="B328" s="202"/>
      <c r="C328" s="202"/>
      <c r="D328" s="268" t="s">
        <v>43</v>
      </c>
      <c r="E328" s="264">
        <v>46522</v>
      </c>
      <c r="F328" s="261">
        <v>7.0000000000000007E-2</v>
      </c>
      <c r="G328" s="261">
        <v>6.7000000000000004E-2</v>
      </c>
      <c r="H328" s="261">
        <v>7.0000000000000007E-2</v>
      </c>
      <c r="I328" s="262">
        <v>6.77151E-2</v>
      </c>
      <c r="J328" s="262">
        <v>6.8199999999999997E-2</v>
      </c>
      <c r="K328" s="265">
        <f>12287500000000/1000000</f>
        <v>12287500</v>
      </c>
      <c r="L328" s="269">
        <v>7350000</v>
      </c>
      <c r="M328" s="263">
        <f t="shared" si="30"/>
        <v>1.6717687074829932</v>
      </c>
    </row>
    <row r="329" spans="1:13" s="224" customFormat="1" ht="12.75" customHeight="1" outlineLevel="1" x14ac:dyDescent="0.2">
      <c r="A329" s="202"/>
      <c r="B329" s="202"/>
      <c r="C329" s="202"/>
      <c r="D329" s="268" t="s">
        <v>140</v>
      </c>
      <c r="E329" s="264">
        <v>48441</v>
      </c>
      <c r="F329" s="261">
        <v>7.4999999999999997E-2</v>
      </c>
      <c r="G329" s="261">
        <v>7.3400000000000007E-2</v>
      </c>
      <c r="H329" s="261">
        <v>7.5300000000000006E-2</v>
      </c>
      <c r="I329" s="262">
        <v>7.3541800000000004E-2</v>
      </c>
      <c r="J329" s="262">
        <v>7.3700000000000002E-2</v>
      </c>
      <c r="K329" s="265">
        <f>12696100000000/1000000</f>
        <v>12696100</v>
      </c>
      <c r="L329" s="269">
        <v>4050000</v>
      </c>
      <c r="M329" s="263">
        <f t="shared" si="30"/>
        <v>3.1348395061728396</v>
      </c>
    </row>
    <row r="330" spans="1:13" s="224" customFormat="1" ht="12.75" customHeight="1" outlineLevel="1" x14ac:dyDescent="0.2">
      <c r="A330" s="297" t="s">
        <v>124</v>
      </c>
      <c r="B330" s="298"/>
      <c r="C330" s="298"/>
      <c r="D330" s="298"/>
      <c r="E330" s="298"/>
      <c r="F330" s="298"/>
      <c r="G330" s="298"/>
      <c r="H330" s="298"/>
      <c r="I330" s="298"/>
      <c r="J330" s="299"/>
      <c r="K330" s="266">
        <f>SUM(K325:K329)</f>
        <v>41483600</v>
      </c>
      <c r="L330" s="266">
        <f>SUM(L325:L329)</f>
        <v>22500000</v>
      </c>
      <c r="M330" s="267"/>
    </row>
    <row r="331" spans="1:13" s="223" customFormat="1" x14ac:dyDescent="0.2">
      <c r="A331" s="215">
        <v>43046</v>
      </c>
      <c r="B331" s="215">
        <v>43048</v>
      </c>
      <c r="C331" s="215" t="s">
        <v>127</v>
      </c>
      <c r="D331" s="259" t="s">
        <v>242</v>
      </c>
      <c r="E331" s="264">
        <v>43228</v>
      </c>
      <c r="F331" s="261" t="s">
        <v>138</v>
      </c>
      <c r="G331" s="261">
        <v>4.71875E-2</v>
      </c>
      <c r="H331" s="261">
        <v>5.7500000000000002E-2</v>
      </c>
      <c r="I331" s="262">
        <v>4.99917E-2</v>
      </c>
      <c r="J331" s="262"/>
      <c r="K331" s="265">
        <v>3738300</v>
      </c>
      <c r="L331" s="265">
        <v>970000</v>
      </c>
      <c r="M331" s="263">
        <f t="shared" ref="M331:M335" si="31">K331/L331</f>
        <v>3.8539175257731957</v>
      </c>
    </row>
    <row r="332" spans="1:13" s="223" customFormat="1" x14ac:dyDescent="0.2">
      <c r="A332" s="172"/>
      <c r="B332" s="172"/>
      <c r="C332" s="172"/>
      <c r="D332" s="268" t="s">
        <v>150</v>
      </c>
      <c r="E332" s="264">
        <v>43600</v>
      </c>
      <c r="F332" s="261">
        <v>6.25E-2</v>
      </c>
      <c r="G332" s="261">
        <v>5.7812500000000003E-2</v>
      </c>
      <c r="H332" s="261">
        <v>0.06</v>
      </c>
      <c r="I332" s="262">
        <v>5.87243E-2</v>
      </c>
      <c r="J332" s="262"/>
      <c r="K332" s="269">
        <v>5515000</v>
      </c>
      <c r="L332" s="269">
        <v>3915000</v>
      </c>
      <c r="M332" s="263">
        <f t="shared" si="31"/>
        <v>1.4086845466155811</v>
      </c>
    </row>
    <row r="333" spans="1:13" s="223" customFormat="1" x14ac:dyDescent="0.2">
      <c r="A333" s="202"/>
      <c r="B333" s="202"/>
      <c r="C333" s="202"/>
      <c r="D333" s="268" t="s">
        <v>151</v>
      </c>
      <c r="E333" s="264">
        <v>44331</v>
      </c>
      <c r="F333" s="261">
        <v>6.5000000000000002E-2</v>
      </c>
      <c r="G333" s="261">
        <v>6.3750000000000001E-2</v>
      </c>
      <c r="H333" s="261">
        <v>6.5312499999999996E-2</v>
      </c>
      <c r="I333" s="262">
        <v>6.4199999999999993E-2</v>
      </c>
      <c r="J333" s="262"/>
      <c r="K333" s="269">
        <v>1858000</v>
      </c>
      <c r="L333" s="269">
        <v>550000</v>
      </c>
      <c r="M333" s="263">
        <f t="shared" si="31"/>
        <v>3.3781818181818184</v>
      </c>
    </row>
    <row r="334" spans="1:13" s="223" customFormat="1" x14ac:dyDescent="0.2">
      <c r="A334" s="202"/>
      <c r="B334" s="202"/>
      <c r="C334" s="202"/>
      <c r="D334" s="268" t="s">
        <v>122</v>
      </c>
      <c r="E334" s="264">
        <v>45153</v>
      </c>
      <c r="F334" s="261">
        <v>8.7499999999999994E-2</v>
      </c>
      <c r="G334" s="261">
        <v>6.5625000000000003E-2</v>
      </c>
      <c r="H334" s="261">
        <v>6.7187499999999997E-2</v>
      </c>
      <c r="I334" s="261">
        <v>6.6295199999999999E-2</v>
      </c>
      <c r="J334" s="262"/>
      <c r="K334" s="269">
        <v>872000</v>
      </c>
      <c r="L334" s="254">
        <v>800000</v>
      </c>
      <c r="M334" s="263">
        <f t="shared" si="31"/>
        <v>1.0900000000000001</v>
      </c>
    </row>
    <row r="335" spans="1:13" s="223" customFormat="1" x14ac:dyDescent="0.2">
      <c r="A335" s="202"/>
      <c r="B335" s="202"/>
      <c r="C335" s="202"/>
      <c r="D335" s="268" t="s">
        <v>123</v>
      </c>
      <c r="E335" s="264">
        <v>48167</v>
      </c>
      <c r="F335" s="261">
        <v>8.8749999999999996E-2</v>
      </c>
      <c r="G335" s="261">
        <v>7.3124999999999996E-2</v>
      </c>
      <c r="H335" s="261">
        <v>7.6249999999999998E-2</v>
      </c>
      <c r="I335" s="283">
        <v>7.3798000000000002E-2</v>
      </c>
      <c r="J335" s="262"/>
      <c r="K335" s="254">
        <v>838700</v>
      </c>
      <c r="L335" s="191">
        <v>265000</v>
      </c>
      <c r="M335" s="263">
        <f t="shared" si="31"/>
        <v>3.1649056603773587</v>
      </c>
    </row>
    <row r="336" spans="1:13" s="223" customFormat="1" x14ac:dyDescent="0.2">
      <c r="A336" s="297" t="s">
        <v>124</v>
      </c>
      <c r="B336" s="298"/>
      <c r="C336" s="298"/>
      <c r="D336" s="298"/>
      <c r="E336" s="298"/>
      <c r="F336" s="298"/>
      <c r="G336" s="298"/>
      <c r="H336" s="298"/>
      <c r="I336" s="298"/>
      <c r="J336" s="299"/>
      <c r="K336" s="266">
        <f>SUM(K331:K335)</f>
        <v>12822000</v>
      </c>
      <c r="L336" s="266">
        <f>SUM(L331:L335)</f>
        <v>6500000</v>
      </c>
      <c r="M336" s="267"/>
    </row>
    <row r="337" spans="1:13" s="224" customFormat="1" ht="12.75" customHeight="1" outlineLevel="1" x14ac:dyDescent="0.2">
      <c r="A337" s="215">
        <v>43053</v>
      </c>
      <c r="B337" s="215">
        <v>43055</v>
      </c>
      <c r="C337" s="215" t="s">
        <v>127</v>
      </c>
      <c r="D337" s="259" t="s">
        <v>244</v>
      </c>
      <c r="E337" s="264">
        <v>43146</v>
      </c>
      <c r="F337" s="261" t="s">
        <v>138</v>
      </c>
      <c r="G337" s="261">
        <v>4.7500000000000001E-2</v>
      </c>
      <c r="H337" s="261">
        <v>5.1999999999999998E-2</v>
      </c>
      <c r="I337" s="262">
        <v>4.8269199999999998E-2</v>
      </c>
      <c r="J337" s="262">
        <v>4.8800000000000003E-2</v>
      </c>
      <c r="K337" s="265">
        <f>3900000000000/1000000</f>
        <v>3900000</v>
      </c>
      <c r="L337" s="265">
        <v>2600000</v>
      </c>
      <c r="M337" s="263">
        <f t="shared" ref="M337:M341" si="32">K337/L337</f>
        <v>1.5</v>
      </c>
    </row>
    <row r="338" spans="1:13" s="224" customFormat="1" ht="12.75" customHeight="1" outlineLevel="1" x14ac:dyDescent="0.2">
      <c r="A338" s="172"/>
      <c r="B338" s="172"/>
      <c r="C338" s="172"/>
      <c r="D338" s="268" t="s">
        <v>245</v>
      </c>
      <c r="E338" s="264">
        <v>43419</v>
      </c>
      <c r="F338" s="261" t="s">
        <v>138</v>
      </c>
      <c r="G338" s="261">
        <v>5.1900000000000002E-2</v>
      </c>
      <c r="H338" s="261">
        <v>5.5500000000000001E-2</v>
      </c>
      <c r="I338" s="262">
        <v>5.253E-2</v>
      </c>
      <c r="J338" s="262">
        <v>5.3199999999999997E-2</v>
      </c>
      <c r="K338" s="265">
        <f>6000000000000/1000000</f>
        <v>6000000</v>
      </c>
      <c r="L338" s="269">
        <v>3000000</v>
      </c>
      <c r="M338" s="263">
        <f t="shared" si="32"/>
        <v>2</v>
      </c>
    </row>
    <row r="339" spans="1:13" s="224" customFormat="1" ht="12.75" customHeight="1" outlineLevel="1" x14ac:dyDescent="0.2">
      <c r="A339" s="202"/>
      <c r="B339" s="202"/>
      <c r="C339" s="202"/>
      <c r="D339" s="268" t="s">
        <v>35</v>
      </c>
      <c r="E339" s="264">
        <v>44696</v>
      </c>
      <c r="F339" s="261">
        <v>7.0000000000000007E-2</v>
      </c>
      <c r="G339" s="261">
        <v>6.2700000000000006E-2</v>
      </c>
      <c r="H339" s="261">
        <v>6.5000000000000002E-2</v>
      </c>
      <c r="I339" s="262">
        <v>6.2915700000000005E-2</v>
      </c>
      <c r="J339" s="262">
        <v>6.3E-2</v>
      </c>
      <c r="K339" s="265">
        <f>9775500000000/1000000</f>
        <v>9775500</v>
      </c>
      <c r="L339" s="269">
        <v>2800000</v>
      </c>
      <c r="M339" s="263">
        <f t="shared" si="32"/>
        <v>3.49125</v>
      </c>
    </row>
    <row r="340" spans="1:13" s="224" customFormat="1" ht="12.75" customHeight="1" outlineLevel="1" x14ac:dyDescent="0.2">
      <c r="A340" s="202"/>
      <c r="B340" s="202"/>
      <c r="C340" s="202"/>
      <c r="D340" s="268" t="s">
        <v>43</v>
      </c>
      <c r="E340" s="264">
        <v>46522</v>
      </c>
      <c r="F340" s="261">
        <v>7.0000000000000007E-2</v>
      </c>
      <c r="G340" s="261">
        <v>6.5699999999999995E-2</v>
      </c>
      <c r="H340" s="261">
        <v>6.8599999999999994E-2</v>
      </c>
      <c r="I340" s="262">
        <v>6.6193399999999999E-2</v>
      </c>
      <c r="J340" s="262">
        <v>6.6500000000000004E-2</v>
      </c>
      <c r="K340" s="265">
        <f>9487500000000/1000000</f>
        <v>9487500</v>
      </c>
      <c r="L340" s="269">
        <v>4550000</v>
      </c>
      <c r="M340" s="263">
        <f t="shared" si="32"/>
        <v>2.0851648351648353</v>
      </c>
    </row>
    <row r="341" spans="1:13" s="224" customFormat="1" ht="12.75" customHeight="1" outlineLevel="1" x14ac:dyDescent="0.2">
      <c r="A341" s="202"/>
      <c r="B341" s="202"/>
      <c r="C341" s="202"/>
      <c r="D341" s="268" t="s">
        <v>225</v>
      </c>
      <c r="E341" s="264">
        <v>50540</v>
      </c>
      <c r="F341" s="261">
        <v>7.4999999999999997E-2</v>
      </c>
      <c r="G341" s="261">
        <v>7.2400000000000006E-2</v>
      </c>
      <c r="H341" s="261">
        <v>7.4499999999999997E-2</v>
      </c>
      <c r="I341" s="262">
        <v>7.2629799999999994E-2</v>
      </c>
      <c r="J341" s="262">
        <v>7.2999999999999995E-2</v>
      </c>
      <c r="K341" s="265">
        <f>9760500000000/1000000</f>
        <v>9760500</v>
      </c>
      <c r="L341" s="269">
        <v>6450000</v>
      </c>
      <c r="M341" s="263">
        <f t="shared" si="32"/>
        <v>1.5132558139534884</v>
      </c>
    </row>
    <row r="342" spans="1:13" s="224" customFormat="1" ht="12.75" customHeight="1" outlineLevel="1" x14ac:dyDescent="0.2">
      <c r="A342" s="297" t="s">
        <v>124</v>
      </c>
      <c r="B342" s="298"/>
      <c r="C342" s="298"/>
      <c r="D342" s="298"/>
      <c r="E342" s="298"/>
      <c r="F342" s="298"/>
      <c r="G342" s="298"/>
      <c r="H342" s="298"/>
      <c r="I342" s="298"/>
      <c r="J342" s="299"/>
      <c r="K342" s="266">
        <f>SUM(K337:K341)</f>
        <v>38923500</v>
      </c>
      <c r="L342" s="266">
        <f>SUM(L337:L341)</f>
        <v>19400000</v>
      </c>
      <c r="M342" s="267"/>
    </row>
    <row r="343" spans="1:13" s="223" customFormat="1" x14ac:dyDescent="0.2">
      <c r="A343" s="215">
        <v>43060</v>
      </c>
      <c r="B343" s="215">
        <v>43062</v>
      </c>
      <c r="C343" s="215" t="s">
        <v>127</v>
      </c>
      <c r="D343" s="259" t="s">
        <v>242</v>
      </c>
      <c r="E343" s="264">
        <v>43228</v>
      </c>
      <c r="F343" s="261" t="s">
        <v>138</v>
      </c>
      <c r="G343" s="261">
        <v>4.9375000000000002E-2</v>
      </c>
      <c r="H343" s="261">
        <v>5.7500000000000002E-2</v>
      </c>
      <c r="I343" s="262">
        <v>5.0285700000000003E-2</v>
      </c>
      <c r="J343" s="262"/>
      <c r="K343" s="265">
        <v>4275000</v>
      </c>
      <c r="L343" s="265">
        <v>1750000</v>
      </c>
      <c r="M343" s="263">
        <f t="shared" ref="M343:M347" si="33">K343/L343</f>
        <v>2.4428571428571431</v>
      </c>
    </row>
    <row r="344" spans="1:13" s="223" customFormat="1" x14ac:dyDescent="0.2">
      <c r="A344" s="172"/>
      <c r="B344" s="172"/>
      <c r="C344" s="172"/>
      <c r="D344" s="268" t="s">
        <v>150</v>
      </c>
      <c r="E344" s="264">
        <v>43600</v>
      </c>
      <c r="F344" s="261">
        <v>6.25E-2</v>
      </c>
      <c r="G344" s="261">
        <v>5.7500000000000002E-2</v>
      </c>
      <c r="H344" s="261">
        <v>6.0312499999999998E-2</v>
      </c>
      <c r="I344" s="262">
        <v>5.8299299999999998E-2</v>
      </c>
      <c r="J344" s="262"/>
      <c r="K344" s="269">
        <v>5977000</v>
      </c>
      <c r="L344" s="269">
        <v>1250000</v>
      </c>
      <c r="M344" s="263">
        <f t="shared" si="33"/>
        <v>4.7816000000000001</v>
      </c>
    </row>
    <row r="345" spans="1:13" s="223" customFormat="1" x14ac:dyDescent="0.2">
      <c r="A345" s="202"/>
      <c r="B345" s="202"/>
      <c r="C345" s="202"/>
      <c r="D345" s="268" t="s">
        <v>151</v>
      </c>
      <c r="E345" s="264">
        <v>44331</v>
      </c>
      <c r="F345" s="261">
        <v>6.5000000000000002E-2</v>
      </c>
      <c r="G345" s="261">
        <v>6.2812499999999993E-2</v>
      </c>
      <c r="H345" s="261">
        <v>6.5312499999999996E-2</v>
      </c>
      <c r="I345" s="262">
        <v>6.3861799999999996E-2</v>
      </c>
      <c r="J345" s="262"/>
      <c r="K345" s="269">
        <v>2460500</v>
      </c>
      <c r="L345" s="269">
        <v>2300000</v>
      </c>
      <c r="M345" s="263">
        <f t="shared" si="33"/>
        <v>1.0697826086956521</v>
      </c>
    </row>
    <row r="346" spans="1:13" s="223" customFormat="1" x14ac:dyDescent="0.2">
      <c r="A346" s="202"/>
      <c r="B346" s="202"/>
      <c r="C346" s="202"/>
      <c r="D346" s="268" t="s">
        <v>122</v>
      </c>
      <c r="E346" s="264">
        <v>45153</v>
      </c>
      <c r="F346" s="261">
        <v>8.7499999999999994E-2</v>
      </c>
      <c r="G346" s="261">
        <v>6.5000000000000002E-2</v>
      </c>
      <c r="H346" s="261">
        <v>6.7500000000000004E-2</v>
      </c>
      <c r="I346" s="261"/>
      <c r="J346" s="262"/>
      <c r="K346" s="269">
        <v>1395000</v>
      </c>
      <c r="L346" s="254"/>
      <c r="M346" s="263"/>
    </row>
    <row r="347" spans="1:13" s="223" customFormat="1" x14ac:dyDescent="0.2">
      <c r="A347" s="202"/>
      <c r="B347" s="202"/>
      <c r="C347" s="202"/>
      <c r="D347" s="268" t="s">
        <v>123</v>
      </c>
      <c r="E347" s="264">
        <v>48167</v>
      </c>
      <c r="F347" s="261">
        <v>8.8749999999999996E-2</v>
      </c>
      <c r="G347" s="261">
        <v>7.3124999999999996E-2</v>
      </c>
      <c r="H347" s="261">
        <v>7.4999999999999997E-2</v>
      </c>
      <c r="I347" s="283">
        <v>7.3799900000000002E-2</v>
      </c>
      <c r="J347" s="262"/>
      <c r="K347" s="254">
        <v>1565700</v>
      </c>
      <c r="L347" s="191">
        <v>650000</v>
      </c>
      <c r="M347" s="263">
        <f t="shared" si="33"/>
        <v>2.4087692307692308</v>
      </c>
    </row>
    <row r="348" spans="1:13" s="223" customFormat="1" x14ac:dyDescent="0.2">
      <c r="A348" s="297" t="s">
        <v>124</v>
      </c>
      <c r="B348" s="298"/>
      <c r="C348" s="298"/>
      <c r="D348" s="298"/>
      <c r="E348" s="298"/>
      <c r="F348" s="298"/>
      <c r="G348" s="298"/>
      <c r="H348" s="298"/>
      <c r="I348" s="298"/>
      <c r="J348" s="299"/>
      <c r="K348" s="266">
        <f>SUM(K343:K347)</f>
        <v>15673200</v>
      </c>
      <c r="L348" s="266">
        <f>SUM(L343:L347)</f>
        <v>5950000</v>
      </c>
      <c r="M348" s="267"/>
    </row>
    <row r="349" spans="1:13" s="223" customFormat="1" ht="12.75" customHeight="1" x14ac:dyDescent="0.2">
      <c r="A349" s="300" t="s">
        <v>241</v>
      </c>
      <c r="B349" s="301"/>
      <c r="C349" s="301"/>
      <c r="D349" s="301"/>
      <c r="E349" s="301"/>
      <c r="F349" s="301"/>
      <c r="G349" s="301"/>
      <c r="H349" s="301"/>
      <c r="I349" s="301"/>
      <c r="J349" s="302"/>
      <c r="K349" s="258">
        <f>K330+K336+K342+K348</f>
        <v>108902300</v>
      </c>
      <c r="L349" s="258">
        <f>L330+L336+L342+L348</f>
        <v>54350000</v>
      </c>
      <c r="M349" s="255"/>
    </row>
    <row r="350" spans="1:13" s="223" customFormat="1" ht="12.75" customHeight="1" x14ac:dyDescent="0.2">
      <c r="A350" s="300" t="s">
        <v>246</v>
      </c>
      <c r="B350" s="301"/>
      <c r="C350" s="301"/>
      <c r="D350" s="301"/>
      <c r="E350" s="301"/>
      <c r="F350" s="301"/>
      <c r="G350" s="301"/>
      <c r="H350" s="301"/>
      <c r="I350" s="301"/>
      <c r="J350" s="302"/>
      <c r="K350" s="258">
        <f>SUM(K324,K330,K342,K336,K348)</f>
        <v>1675595515.01</v>
      </c>
      <c r="L350" s="258">
        <f>SUM(L324,L330,L342,L336,L348)</f>
        <v>708937405.25</v>
      </c>
      <c r="M350" s="255"/>
    </row>
    <row r="351" spans="1:13" s="224" customFormat="1" ht="12.75" customHeight="1" outlineLevel="1" x14ac:dyDescent="0.2">
      <c r="A351" s="215">
        <v>43096</v>
      </c>
      <c r="B351" s="215">
        <v>43098</v>
      </c>
      <c r="C351" s="222" t="s">
        <v>165</v>
      </c>
      <c r="D351" s="214" t="s">
        <v>247</v>
      </c>
      <c r="E351" s="219">
        <v>43187</v>
      </c>
      <c r="F351" s="261" t="s">
        <v>138</v>
      </c>
      <c r="G351" s="261"/>
      <c r="H351" s="261"/>
      <c r="I351" s="217"/>
      <c r="J351" s="217"/>
      <c r="K351" s="266">
        <v>10107290</v>
      </c>
      <c r="L351" s="266">
        <v>10107290</v>
      </c>
      <c r="M351" s="263">
        <v>1</v>
      </c>
    </row>
    <row r="352" spans="1:13" s="224" customFormat="1" ht="12.75" customHeight="1" outlineLevel="1" x14ac:dyDescent="0.2">
      <c r="A352" s="297" t="s">
        <v>124</v>
      </c>
      <c r="B352" s="298"/>
      <c r="C352" s="298"/>
      <c r="D352" s="298"/>
      <c r="E352" s="298"/>
      <c r="F352" s="298"/>
      <c r="G352" s="298"/>
      <c r="H352" s="298"/>
      <c r="I352" s="298"/>
      <c r="J352" s="299"/>
      <c r="K352" s="266">
        <f>K351</f>
        <v>10107290</v>
      </c>
      <c r="L352" s="266">
        <f>L351</f>
        <v>10107290</v>
      </c>
      <c r="M352" s="267"/>
    </row>
    <row r="353" spans="1:13" s="223" customFormat="1" ht="12.75" customHeight="1" x14ac:dyDescent="0.2">
      <c r="A353" s="300" t="s">
        <v>248</v>
      </c>
      <c r="B353" s="301"/>
      <c r="C353" s="301"/>
      <c r="D353" s="301"/>
      <c r="E353" s="301"/>
      <c r="F353" s="301"/>
      <c r="G353" s="301"/>
      <c r="H353" s="301"/>
      <c r="I353" s="301"/>
      <c r="J353" s="302"/>
      <c r="K353" s="258">
        <f>K352</f>
        <v>10107290</v>
      </c>
      <c r="L353" s="258">
        <f>L352</f>
        <v>10107290</v>
      </c>
      <c r="M353" s="255"/>
    </row>
    <row r="354" spans="1:13" s="223" customFormat="1" ht="12.75" customHeight="1" x14ac:dyDescent="0.2">
      <c r="A354" s="300" t="s">
        <v>249</v>
      </c>
      <c r="B354" s="301"/>
      <c r="C354" s="301"/>
      <c r="D354" s="301"/>
      <c r="E354" s="301"/>
      <c r="F354" s="301"/>
      <c r="G354" s="301"/>
      <c r="H354" s="301"/>
      <c r="I354" s="301"/>
      <c r="J354" s="302"/>
      <c r="K354" s="258">
        <f>SUM(K350,K353)</f>
        <v>1685702805.01</v>
      </c>
      <c r="L354" s="258">
        <f>SUM(L350,L353)</f>
        <v>719044695.25</v>
      </c>
      <c r="M354" s="255"/>
    </row>
    <row r="355" spans="1:13" x14ac:dyDescent="0.2">
      <c r="K355" s="288"/>
      <c r="L355" s="288"/>
    </row>
    <row r="357" spans="1:13" x14ac:dyDescent="0.2">
      <c r="J357" s="173" t="s">
        <v>250</v>
      </c>
      <c r="K357" s="289">
        <f>SUM(L13:L15,L25:L27,L39:L41,L51:L53,L65:L68,L78:L80,L99:L101,L113:L115,L128:L131,L143:L145,L155:L157,L178:L180,L192:L194,L206:L208,L229:L231,L243:L245,L255:L257,L271:L273,L283:L286,L298:L300,L310:L313,L327:L329,L339:L341)</f>
        <v>222980000</v>
      </c>
    </row>
    <row r="358" spans="1:13" x14ac:dyDescent="0.2">
      <c r="J358" s="173" t="s">
        <v>23</v>
      </c>
      <c r="K358" s="288">
        <f>SUM(L11:L12,L23:L24,L37:L38,L49:L50,L63:L64,L76:L77,L97:L98,L111:L112,L126:L127,L141:L142,L153:L154,L176:L177,L190:L191,L204:L205,L227:L228,L241:L242,L253:L254,L269:L270,L281:L282,L296:L297,L308:L309,L325:L326,L337:L338)</f>
        <v>182100000</v>
      </c>
    </row>
    <row r="359" spans="1:13" x14ac:dyDescent="0.2">
      <c r="J359" s="173" t="s">
        <v>251</v>
      </c>
      <c r="K359" s="288">
        <f>SUM(L182)</f>
        <v>393000</v>
      </c>
    </row>
    <row r="360" spans="1:13" x14ac:dyDescent="0.2">
      <c r="J360" s="173" t="s">
        <v>252</v>
      </c>
      <c r="K360" s="288">
        <f>SUM(L352)</f>
        <v>10107290</v>
      </c>
    </row>
    <row r="361" spans="1:13" x14ac:dyDescent="0.2">
      <c r="J361" s="173" t="s">
        <v>253</v>
      </c>
      <c r="K361" s="288">
        <f>K358+K360</f>
        <v>192207290</v>
      </c>
    </row>
    <row r="362" spans="1:13" x14ac:dyDescent="0.2">
      <c r="J362" s="173" t="s">
        <v>254</v>
      </c>
      <c r="K362" s="288">
        <f>K357+K359</f>
        <v>223373000</v>
      </c>
      <c r="L362" s="289">
        <v>233576660</v>
      </c>
      <c r="M362" s="290">
        <f>L362-K362</f>
        <v>10203660</v>
      </c>
    </row>
    <row r="363" spans="1:13" x14ac:dyDescent="0.2">
      <c r="J363" s="173" t="s">
        <v>255</v>
      </c>
      <c r="M363" s="288">
        <f>L316</f>
        <v>8948660</v>
      </c>
    </row>
    <row r="364" spans="1:13" x14ac:dyDescent="0.2">
      <c r="M364" s="290">
        <f>M362-M363</f>
        <v>1255000</v>
      </c>
    </row>
  </sheetData>
  <mergeCells count="85">
    <mergeCell ref="A183:J183"/>
    <mergeCell ref="A181:J181"/>
    <mergeCell ref="A203:J203"/>
    <mergeCell ref="A233:J233"/>
    <mergeCell ref="A196:J196"/>
    <mergeCell ref="A195:J195"/>
    <mergeCell ref="A189:J189"/>
    <mergeCell ref="A216:J216"/>
    <mergeCell ref="A209:J209"/>
    <mergeCell ref="A197:J197"/>
    <mergeCell ref="A62:J62"/>
    <mergeCell ref="A83:J83"/>
    <mergeCell ref="A85:J85"/>
    <mergeCell ref="A96:J96"/>
    <mergeCell ref="A175:J175"/>
    <mergeCell ref="A81:J81"/>
    <mergeCell ref="A102:J102"/>
    <mergeCell ref="A91:J91"/>
    <mergeCell ref="A152:J152"/>
    <mergeCell ref="A158:J158"/>
    <mergeCell ref="A166:J166"/>
    <mergeCell ref="A75:J75"/>
    <mergeCell ref="L2:M2"/>
    <mergeCell ref="A10:J10"/>
    <mergeCell ref="A16:J16"/>
    <mergeCell ref="A22:J22"/>
    <mergeCell ref="A28:J28"/>
    <mergeCell ref="A34:J34"/>
    <mergeCell ref="A42:J42"/>
    <mergeCell ref="A36:J36"/>
    <mergeCell ref="A54:J54"/>
    <mergeCell ref="A60:J60"/>
    <mergeCell ref="A48:J48"/>
    <mergeCell ref="A35:J35"/>
    <mergeCell ref="A61:J61"/>
    <mergeCell ref="A103:J103"/>
    <mergeCell ref="A168:J168"/>
    <mergeCell ref="A104:J104"/>
    <mergeCell ref="A69:J69"/>
    <mergeCell ref="A110:J110"/>
    <mergeCell ref="A134:J134"/>
    <mergeCell ref="A125:J125"/>
    <mergeCell ref="A116:J116"/>
    <mergeCell ref="A146:J146"/>
    <mergeCell ref="A133:J133"/>
    <mergeCell ref="A159:J159"/>
    <mergeCell ref="A140:J140"/>
    <mergeCell ref="A122:J122"/>
    <mergeCell ref="A160:J160"/>
    <mergeCell ref="A132:J132"/>
    <mergeCell ref="A264:J264"/>
    <mergeCell ref="A240:J240"/>
    <mergeCell ref="A226:J226"/>
    <mergeCell ref="A222:J222"/>
    <mergeCell ref="A224:J224"/>
    <mergeCell ref="A234:J234"/>
    <mergeCell ref="A232:J232"/>
    <mergeCell ref="A246:J246"/>
    <mergeCell ref="A252:J252"/>
    <mergeCell ref="A258:J258"/>
    <mergeCell ref="A265:J265"/>
    <mergeCell ref="A266:J266"/>
    <mergeCell ref="A274:J274"/>
    <mergeCell ref="A307:J307"/>
    <mergeCell ref="A314:J314"/>
    <mergeCell ref="A268:J268"/>
    <mergeCell ref="A294:J294"/>
    <mergeCell ref="A295:J295"/>
    <mergeCell ref="A287:J287"/>
    <mergeCell ref="A293:J293"/>
    <mergeCell ref="A301:J301"/>
    <mergeCell ref="A280:J280"/>
    <mergeCell ref="A352:J352"/>
    <mergeCell ref="A353:J353"/>
    <mergeCell ref="A354:J354"/>
    <mergeCell ref="A316:J316"/>
    <mergeCell ref="A342:J342"/>
    <mergeCell ref="A330:J330"/>
    <mergeCell ref="A349:J349"/>
    <mergeCell ref="A350:J350"/>
    <mergeCell ref="A322:J322"/>
    <mergeCell ref="A323:J323"/>
    <mergeCell ref="A324:J324"/>
    <mergeCell ref="A336:J336"/>
    <mergeCell ref="A348:J348"/>
  </mergeCells>
  <phoneticPr fontId="0" type="noConversion"/>
  <printOptions horizontalCentered="1"/>
  <pageMargins left="0" right="0" top="0.39370078740157499" bottom="0" header="0.15748031496063" footer="0.196850393700787"/>
  <pageSetup paperSize="9" scale="87" orientation="landscape" r:id="rId1"/>
  <headerFooter alignWithMargins="0">
    <oddFooter>Page &amp;P of &amp;N</oddFooter>
  </headerFooter>
  <ignoredErrors>
    <ignoredError sqref="K91:L91 K116:L116 K181:L18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"/>
  <sheetViews>
    <sheetView workbookViewId="0">
      <selection activeCell="K3" sqref="K3:L7"/>
    </sheetView>
  </sheetViews>
  <sheetFormatPr defaultRowHeight="12.75" x14ac:dyDescent="0.2"/>
  <cols>
    <col min="4" max="4" width="12.85546875" bestFit="1" customWidth="1"/>
    <col min="5" max="5" width="9.7109375" bestFit="1" customWidth="1"/>
    <col min="6" max="12" width="6.28515625" bestFit="1" customWidth="1"/>
    <col min="13" max="13" width="17.5703125" bestFit="1" customWidth="1"/>
    <col min="14" max="16" width="16.42578125" bestFit="1" customWidth="1"/>
  </cols>
  <sheetData>
    <row r="3" spans="2:16" x14ac:dyDescent="0.2">
      <c r="B3" s="285">
        <v>43053</v>
      </c>
      <c r="C3" s="285">
        <v>43055</v>
      </c>
      <c r="D3" t="s">
        <v>244</v>
      </c>
      <c r="E3" s="285">
        <v>43146</v>
      </c>
      <c r="F3" t="s">
        <v>194</v>
      </c>
      <c r="G3" s="286">
        <v>4.7500000000000001E-2</v>
      </c>
      <c r="H3" s="286">
        <v>4.87813E-2</v>
      </c>
      <c r="I3" s="286">
        <v>5.1999999999999998E-2</v>
      </c>
      <c r="J3" s="286">
        <v>4.7500000000000001E-2</v>
      </c>
      <c r="K3" s="286">
        <v>4.8269199999999998E-2</v>
      </c>
      <c r="L3" s="286">
        <v>4.8800000000000003E-2</v>
      </c>
      <c r="M3" s="287">
        <v>15000000000000</v>
      </c>
      <c r="N3" s="287">
        <v>3900000000000</v>
      </c>
      <c r="O3" s="287">
        <v>2600000000000</v>
      </c>
      <c r="P3" s="287">
        <v>2600000000000</v>
      </c>
    </row>
    <row r="4" spans="2:16" x14ac:dyDescent="0.2">
      <c r="C4" s="285">
        <v>43055</v>
      </c>
      <c r="D4" t="s">
        <v>245</v>
      </c>
      <c r="E4" s="285">
        <v>43419</v>
      </c>
      <c r="F4" t="s">
        <v>194</v>
      </c>
      <c r="G4" s="286">
        <v>5.1900000000000002E-2</v>
      </c>
      <c r="H4" s="286">
        <v>5.3297200000000003E-2</v>
      </c>
      <c r="I4" s="286">
        <v>5.5500000000000001E-2</v>
      </c>
      <c r="J4" s="286">
        <v>5.1900000000000002E-2</v>
      </c>
      <c r="K4" s="286">
        <v>5.253E-2</v>
      </c>
      <c r="L4" s="286">
        <v>5.3199999999999997E-2</v>
      </c>
      <c r="N4" s="287">
        <v>6000000000000</v>
      </c>
      <c r="O4" s="287">
        <v>5200000000000</v>
      </c>
      <c r="P4" s="287">
        <v>3000000000000</v>
      </c>
    </row>
    <row r="5" spans="2:16" x14ac:dyDescent="0.2">
      <c r="C5" s="285">
        <v>43055</v>
      </c>
      <c r="D5" t="s">
        <v>35</v>
      </c>
      <c r="E5" s="285">
        <v>44696</v>
      </c>
      <c r="F5" s="286">
        <v>7.0000000000000007E-2</v>
      </c>
      <c r="G5" s="286">
        <v>6.2700000000000006E-2</v>
      </c>
      <c r="H5" s="286">
        <v>6.3400300000000007E-2</v>
      </c>
      <c r="I5" s="286">
        <v>6.5000000000000002E-2</v>
      </c>
      <c r="J5" s="286">
        <v>6.2700000000000006E-2</v>
      </c>
      <c r="K5" s="286">
        <v>6.2915700000000005E-2</v>
      </c>
      <c r="L5" s="286">
        <v>6.3E-2</v>
      </c>
      <c r="N5" s="287">
        <v>9775500000000</v>
      </c>
      <c r="O5" s="287">
        <v>4250000000000</v>
      </c>
      <c r="P5" s="287">
        <v>2800000000000</v>
      </c>
    </row>
    <row r="6" spans="2:16" x14ac:dyDescent="0.2">
      <c r="C6" s="285">
        <v>43055</v>
      </c>
      <c r="D6" t="s">
        <v>43</v>
      </c>
      <c r="E6" s="285">
        <v>46522</v>
      </c>
      <c r="F6" s="286">
        <v>7.0000000000000007E-2</v>
      </c>
      <c r="G6" s="286">
        <v>6.5699999999999995E-2</v>
      </c>
      <c r="H6" s="286">
        <v>6.6803500000000002E-2</v>
      </c>
      <c r="I6" s="286">
        <v>6.8599999999999994E-2</v>
      </c>
      <c r="J6" s="286">
        <v>6.5699999999999995E-2</v>
      </c>
      <c r="K6" s="286">
        <v>6.6193399999999999E-2</v>
      </c>
      <c r="L6" s="286">
        <v>6.6500000000000004E-2</v>
      </c>
      <c r="N6" s="287">
        <v>9487500000000</v>
      </c>
      <c r="O6" s="287">
        <v>7150000000000</v>
      </c>
      <c r="P6" s="287">
        <v>4550000000000</v>
      </c>
    </row>
    <row r="7" spans="2:16" x14ac:dyDescent="0.2">
      <c r="C7" s="285">
        <v>43055</v>
      </c>
      <c r="D7" t="s">
        <v>225</v>
      </c>
      <c r="E7" s="285">
        <v>50540</v>
      </c>
      <c r="F7" s="286">
        <v>7.4999999999999997E-2</v>
      </c>
      <c r="G7" s="286">
        <v>7.2400000000000006E-2</v>
      </c>
      <c r="H7" s="286">
        <v>7.2925400000000001E-2</v>
      </c>
      <c r="I7" s="286">
        <v>7.4499999999999997E-2</v>
      </c>
      <c r="J7" s="286">
        <v>7.2400000000000006E-2</v>
      </c>
      <c r="K7" s="286">
        <v>7.2629799999999994E-2</v>
      </c>
      <c r="L7" s="286">
        <v>7.2999999999999995E-2</v>
      </c>
      <c r="N7" s="287">
        <v>9760500000000</v>
      </c>
      <c r="O7" s="287">
        <v>7300000000000</v>
      </c>
      <c r="P7" s="287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Contoh_SBN</vt:lpstr>
      <vt:lpstr>SBN</vt:lpstr>
      <vt:lpstr>Sheet1</vt:lpstr>
      <vt:lpstr>Contoh_SBN!Print_Area</vt:lpstr>
      <vt:lpstr>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rahman</cp:lastModifiedBy>
  <cp:lastPrinted>2016-08-04T06:40:54Z</cp:lastPrinted>
  <dcterms:created xsi:type="dcterms:W3CDTF">2010-01-14T01:56:27Z</dcterms:created>
  <dcterms:modified xsi:type="dcterms:W3CDTF">2018-03-07T06:55:23Z</dcterms:modified>
</cp:coreProperties>
</file>