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vent\Downloads\"/>
    </mc:Choice>
  </mc:AlternateContent>
  <bookViews>
    <workbookView xWindow="0" yWindow="0" windowWidth="24000" windowHeight="9735" tabRatio="715" firstSheet="1" activeTab="1"/>
  </bookViews>
  <sheets>
    <sheet name="Contoh_SBN" sheetId="5" state="hidden" r:id="rId1"/>
    <sheet name="SBN" sheetId="1" r:id="rId2"/>
    <sheet name="Sheet1" sheetId="6" state="hidden" r:id="rId3"/>
  </sheets>
  <externalReferences>
    <externalReference r:id="rId4"/>
    <externalReference r:id="rId5"/>
    <externalReference r:id="rId6"/>
  </externalReferences>
  <definedNames>
    <definedName name="aa">#REF!</definedName>
    <definedName name="abc">[1]SummBB!#REF!</definedName>
    <definedName name="abcd">#REF!</definedName>
    <definedName name="ac">#REF!</definedName>
    <definedName name="ad">#REF!</definedName>
    <definedName name="ak">#REF!</definedName>
    <definedName name="am">#REF!</definedName>
    <definedName name="as">#REF!</definedName>
    <definedName name="az">#REF!</definedName>
    <definedName name="Bondata">'[2]Bond Data'!$A$4:$C$28</definedName>
    <definedName name="BondData">'[3]Bond Data'!$A$4:$C$28</definedName>
    <definedName name="hg">#REF!</definedName>
    <definedName name="k">[1]SummBB!#REF!</definedName>
    <definedName name="ki">#REF!</definedName>
    <definedName name="kl">#REF!</definedName>
    <definedName name="ni">#REF!</definedName>
    <definedName name="oi">#REF!</definedName>
    <definedName name="oke">#REF!</definedName>
    <definedName name="ol">#REF!</definedName>
    <definedName name="pp">[1]SummBB!#REF!</definedName>
    <definedName name="_xlnm.Print_Area" localSheetId="0">Contoh_SBN!$A$1:$Q$250</definedName>
    <definedName name="_xlnm.Print_Titles" localSheetId="0">Contoh_SBN!$1:$3</definedName>
    <definedName name="_xlnm.Print_Titles" localSheetId="1">SBN!$1:$3</definedName>
    <definedName name="Skenario_2_a_L" localSheetId="0">[1]SummBB!#REF!</definedName>
    <definedName name="Skenario_2_a_L">[1]SummBB!#REF!</definedName>
    <definedName name="Skenario_2_a_P" localSheetId="0">[1]SummBB!#REF!</definedName>
    <definedName name="Skenario_2_a_P">[1]SummBB!#REF!</definedName>
    <definedName name="th_2003" localSheetId="0">#REF!</definedName>
    <definedName name="th_2003">#REF!</definedName>
    <definedName name="th_2004" localSheetId="0">#REF!</definedName>
    <definedName name="th_2004">#REF!</definedName>
    <definedName name="th_2005" localSheetId="0">#REF!</definedName>
    <definedName name="th_2005">#REF!</definedName>
    <definedName name="th_2006" localSheetId="0">#REF!</definedName>
    <definedName name="th_2006">#REF!</definedName>
    <definedName name="uy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511" i="1" l="1"/>
  <c r="K511" i="1"/>
  <c r="M509" i="1"/>
  <c r="K510" i="1"/>
  <c r="L510" i="1"/>
  <c r="M508" i="1"/>
  <c r="M507" i="1"/>
  <c r="M496" i="1" l="1"/>
  <c r="L501" i="1"/>
  <c r="K501" i="1"/>
  <c r="M500" i="1"/>
  <c r="M499" i="1"/>
  <c r="M498" i="1"/>
  <c r="L470" i="1"/>
  <c r="K470" i="1"/>
  <c r="M469" i="1"/>
  <c r="L506" i="1" l="1"/>
  <c r="K506" i="1"/>
  <c r="M505" i="1"/>
  <c r="M504" i="1"/>
  <c r="M503" i="1"/>
  <c r="M502" i="1"/>
  <c r="L495" i="1" l="1"/>
  <c r="K495" i="1"/>
  <c r="M494" i="1"/>
  <c r="M493" i="1"/>
  <c r="M492" i="1"/>
  <c r="M491" i="1"/>
  <c r="M490" i="1"/>
  <c r="M489" i="1"/>
  <c r="M488" i="1"/>
  <c r="L487" i="1" l="1"/>
  <c r="K487" i="1"/>
  <c r="M486" i="1"/>
  <c r="L477" i="1"/>
  <c r="K477" i="1"/>
  <c r="M476" i="1"/>
  <c r="L483" i="1"/>
  <c r="K483" i="1"/>
  <c r="M482" i="1"/>
  <c r="M481" i="1"/>
  <c r="M480" i="1"/>
  <c r="L455" i="1" l="1"/>
  <c r="K455" i="1"/>
  <c r="M454" i="1"/>
  <c r="M453" i="1"/>
  <c r="M452" i="1"/>
  <c r="M451" i="1"/>
  <c r="M450" i="1"/>
  <c r="L475" i="1" l="1"/>
  <c r="K475" i="1"/>
  <c r="M474" i="1"/>
  <c r="M473" i="1"/>
  <c r="M472" i="1"/>
  <c r="M471" i="1"/>
  <c r="L468" i="1" l="1"/>
  <c r="K468" i="1"/>
  <c r="M467" i="1"/>
  <c r="M466" i="1"/>
  <c r="M465" i="1"/>
  <c r="M464" i="1"/>
  <c r="M463" i="1"/>
  <c r="M462" i="1"/>
  <c r="M461" i="1"/>
  <c r="L460" i="1" l="1"/>
  <c r="K460" i="1"/>
  <c r="M459" i="1"/>
  <c r="M458" i="1"/>
  <c r="M457" i="1"/>
  <c r="M456" i="1"/>
  <c r="L449" i="1" l="1"/>
  <c r="K449" i="1"/>
  <c r="M448" i="1"/>
  <c r="M447" i="1"/>
  <c r="M446" i="1"/>
  <c r="M445" i="1"/>
  <c r="M444" i="1"/>
  <c r="M443" i="1"/>
  <c r="M442" i="1"/>
  <c r="L441" i="1" l="1"/>
  <c r="K441" i="1"/>
  <c r="L438" i="1" l="1"/>
  <c r="L484" i="1" s="1"/>
  <c r="K438" i="1"/>
  <c r="K484" i="1" s="1"/>
  <c r="M437" i="1"/>
  <c r="M436" i="1"/>
  <c r="M435" i="1"/>
  <c r="M434" i="1"/>
  <c r="M433" i="1"/>
  <c r="K415" i="1"/>
  <c r="L415" i="1"/>
  <c r="M411" i="1"/>
  <c r="M412" i="1"/>
  <c r="M413" i="1"/>
  <c r="M414" i="1"/>
  <c r="M410" i="1"/>
  <c r="L430" i="1" l="1"/>
  <c r="K430" i="1"/>
  <c r="M429" i="1"/>
  <c r="L428" i="1"/>
  <c r="K428" i="1"/>
  <c r="M427" i="1"/>
  <c r="M426" i="1"/>
  <c r="M425" i="1"/>
  <c r="M424" i="1"/>
  <c r="K423" i="1"/>
  <c r="L423" i="1"/>
  <c r="M422" i="1"/>
  <c r="M421" i="1"/>
  <c r="M420" i="1"/>
  <c r="M419" i="1"/>
  <c r="M418" i="1"/>
  <c r="M417" i="1"/>
  <c r="M416" i="1"/>
  <c r="L409" i="1" l="1"/>
  <c r="K409" i="1"/>
  <c r="M408" i="1"/>
  <c r="M407" i="1"/>
  <c r="M406" i="1"/>
  <c r="M405" i="1"/>
  <c r="L404" i="1" l="1"/>
  <c r="K404" i="1"/>
  <c r="M403" i="1"/>
  <c r="M402" i="1"/>
  <c r="M401" i="1"/>
  <c r="M400" i="1"/>
  <c r="M399" i="1"/>
  <c r="M398" i="1"/>
  <c r="M397" i="1"/>
  <c r="L380" i="1"/>
  <c r="K380" i="1"/>
  <c r="M379" i="1"/>
  <c r="M378" i="1"/>
  <c r="M377" i="1"/>
  <c r="M376" i="1"/>
  <c r="L396" i="1" l="1"/>
  <c r="K396" i="1"/>
  <c r="L391" i="1"/>
  <c r="K391" i="1"/>
  <c r="K431" i="1" s="1"/>
  <c r="M395" i="1"/>
  <c r="M394" i="1"/>
  <c r="M392" i="1"/>
  <c r="M390" i="1"/>
  <c r="M389" i="1"/>
  <c r="M387" i="1"/>
  <c r="M386" i="1"/>
  <c r="M385" i="1"/>
  <c r="M381" i="1"/>
  <c r="L431" i="1" l="1"/>
  <c r="L375" i="1"/>
  <c r="K375" i="1"/>
  <c r="M374" i="1"/>
  <c r="M373" i="1"/>
  <c r="M372" i="1"/>
  <c r="M371" i="1"/>
  <c r="M370" i="1"/>
  <c r="M369" i="1"/>
  <c r="M368" i="1"/>
  <c r="L367" i="1" l="1"/>
  <c r="K367" i="1"/>
  <c r="M366" i="1"/>
  <c r="M365" i="1"/>
  <c r="M364" i="1"/>
  <c r="M363" i="1"/>
  <c r="M362" i="1"/>
  <c r="L353" i="1" l="1"/>
  <c r="K353" i="1"/>
  <c r="M352" i="1"/>
  <c r="M351" i="1"/>
  <c r="M350" i="1"/>
  <c r="M349" i="1"/>
  <c r="M348" i="1"/>
  <c r="K361" i="1" l="1"/>
  <c r="K383" i="1" s="1"/>
  <c r="L361" i="1"/>
  <c r="L383" i="1" s="1"/>
  <c r="M360" i="1"/>
  <c r="M359" i="1"/>
  <c r="M358" i="1"/>
  <c r="M357" i="1"/>
  <c r="M356" i="1"/>
  <c r="M355" i="1"/>
  <c r="M354" i="1"/>
  <c r="L324" i="1" l="1"/>
  <c r="K324" i="1"/>
  <c r="M323" i="1"/>
  <c r="L332" i="1"/>
  <c r="K332" i="1"/>
  <c r="M331" i="1"/>
  <c r="L345" i="1" l="1"/>
  <c r="K345" i="1"/>
  <c r="M344" i="1"/>
  <c r="M343" i="1"/>
  <c r="M342" i="1"/>
  <c r="M341" i="1"/>
  <c r="L309" i="1"/>
  <c r="K309" i="1"/>
  <c r="M308" i="1"/>
  <c r="M306" i="1"/>
  <c r="M305" i="1"/>
  <c r="M304" i="1"/>
  <c r="L340" i="1" l="1"/>
  <c r="K340" i="1"/>
  <c r="M339" i="1"/>
  <c r="M338" i="1"/>
  <c r="M337" i="1"/>
  <c r="M336" i="1"/>
  <c r="M335" i="1"/>
  <c r="M334" i="1"/>
  <c r="M333" i="1"/>
  <c r="M328" i="1" l="1"/>
  <c r="M329" i="1"/>
  <c r="M326" i="1"/>
  <c r="L330" i="1"/>
  <c r="K330" i="1"/>
  <c r="M327" i="1"/>
  <c r="M325" i="1"/>
  <c r="L322" i="1" l="1"/>
  <c r="K322" i="1"/>
  <c r="M321" i="1"/>
  <c r="M320" i="1"/>
  <c r="M319" i="1"/>
  <c r="M318" i="1"/>
  <c r="M317" i="1"/>
  <c r="M316" i="1"/>
  <c r="M315" i="1"/>
  <c r="M312" i="1" l="1"/>
  <c r="L314" i="1"/>
  <c r="L346" i="1" s="1"/>
  <c r="K314" i="1"/>
  <c r="K346" i="1" s="1"/>
  <c r="M313" i="1"/>
  <c r="M311" i="1"/>
  <c r="M310" i="1"/>
  <c r="L301" i="1" l="1"/>
  <c r="K301" i="1"/>
  <c r="M300" i="1"/>
  <c r="M299" i="1"/>
  <c r="M298" i="1"/>
  <c r="M297" i="1"/>
  <c r="M296" i="1"/>
  <c r="M295" i="1"/>
  <c r="M294" i="1"/>
  <c r="L293" i="1" l="1"/>
  <c r="K293" i="1"/>
  <c r="M292" i="1"/>
  <c r="M291" i="1"/>
  <c r="M290" i="1"/>
  <c r="M289" i="1"/>
  <c r="M288" i="1"/>
  <c r="K287" i="1" l="1"/>
  <c r="L287" i="1"/>
  <c r="M286" i="1"/>
  <c r="M285" i="1"/>
  <c r="M284" i="1"/>
  <c r="M283" i="1"/>
  <c r="M282" i="1"/>
  <c r="M281" i="1"/>
  <c r="M280" i="1"/>
  <c r="L279" i="1" l="1"/>
  <c r="K279" i="1"/>
  <c r="M278" i="1"/>
  <c r="L269" i="1" l="1"/>
  <c r="L267" i="1"/>
  <c r="L265" i="1"/>
  <c r="L263" i="1"/>
  <c r="L261" i="1"/>
  <c r="K269" i="1"/>
  <c r="K267" i="1"/>
  <c r="K265" i="1"/>
  <c r="K263" i="1"/>
  <c r="K261" i="1"/>
  <c r="K270" i="1" l="1"/>
  <c r="L270" i="1"/>
  <c r="L277" i="1"/>
  <c r="K277" i="1"/>
  <c r="M272" i="1"/>
  <c r="M273" i="1"/>
  <c r="M274" i="1"/>
  <c r="M275" i="1"/>
  <c r="M271" i="1"/>
  <c r="K239" i="1" l="1"/>
  <c r="L238" i="1" l="1"/>
  <c r="L237" i="1"/>
  <c r="L236" i="1"/>
  <c r="L235" i="1"/>
  <c r="L234" i="1"/>
  <c r="L233" i="1"/>
  <c r="M241" i="1"/>
  <c r="L259" i="1"/>
  <c r="K259" i="1"/>
  <c r="M258" i="1"/>
  <c r="M257" i="1"/>
  <c r="L239" i="1" l="1"/>
  <c r="L256" i="1"/>
  <c r="L302" i="1" s="1"/>
  <c r="K256" i="1"/>
  <c r="K302" i="1" s="1"/>
  <c r="M255" i="1"/>
  <c r="M254" i="1"/>
  <c r="M253" i="1"/>
  <c r="M252" i="1"/>
  <c r="M251" i="1"/>
  <c r="M250" i="1"/>
  <c r="M249" i="1"/>
  <c r="L246" i="1" l="1"/>
  <c r="K246" i="1"/>
  <c r="M245" i="1"/>
  <c r="M244" i="1"/>
  <c r="M243" i="1"/>
  <c r="M242" i="1"/>
  <c r="L224" i="1" l="1"/>
  <c r="K224" i="1"/>
  <c r="M223" i="1"/>
  <c r="M222" i="1"/>
  <c r="M221" i="1"/>
  <c r="M220" i="1"/>
  <c r="M219" i="1"/>
  <c r="L232" i="1" l="1"/>
  <c r="K232" i="1"/>
  <c r="M231" i="1"/>
  <c r="M230" i="1"/>
  <c r="M229" i="1"/>
  <c r="M228" i="1"/>
  <c r="M227" i="1"/>
  <c r="M226" i="1"/>
  <c r="M225" i="1"/>
  <c r="L217" i="1" l="1"/>
  <c r="L247" i="1" s="1"/>
  <c r="K217" i="1"/>
  <c r="K247" i="1" s="1"/>
  <c r="M216" i="1"/>
  <c r="M215" i="1"/>
  <c r="M214" i="1"/>
  <c r="M213" i="1"/>
  <c r="M212" i="1"/>
  <c r="M211" i="1"/>
  <c r="M210" i="1"/>
  <c r="L207" i="1" l="1"/>
  <c r="K207" i="1"/>
  <c r="M206" i="1" l="1"/>
  <c r="M205" i="1"/>
  <c r="M204" i="1"/>
  <c r="M203" i="1"/>
  <c r="M202" i="1"/>
  <c r="M193" i="1"/>
  <c r="M194" i="1"/>
  <c r="K183" i="1"/>
  <c r="L192" i="1" l="1"/>
  <c r="K192" i="1"/>
  <c r="M191" i="1"/>
  <c r="M190" i="1"/>
  <c r="L200" i="1" l="1"/>
  <c r="K200" i="1"/>
  <c r="M199" i="1"/>
  <c r="M198" i="1"/>
  <c r="M197" i="1"/>
  <c r="M196" i="1"/>
  <c r="M195" i="1"/>
  <c r="L189" i="1" l="1"/>
  <c r="K189" i="1"/>
  <c r="M188" i="1"/>
  <c r="M187" i="1"/>
  <c r="L186" i="1" l="1"/>
  <c r="K186" i="1"/>
  <c r="M185" i="1"/>
  <c r="M184" i="1"/>
  <c r="L183" i="1"/>
  <c r="M181" i="1"/>
  <c r="M180" i="1"/>
  <c r="M179" i="1"/>
  <c r="L177" i="1"/>
  <c r="K177" i="1"/>
  <c r="M176" i="1"/>
  <c r="L175" i="1"/>
  <c r="K175" i="1"/>
  <c r="M174" i="1"/>
  <c r="M173" i="1"/>
  <c r="M172" i="1"/>
  <c r="L171" i="1" l="1"/>
  <c r="L208" i="1" s="1"/>
  <c r="K171" i="1"/>
  <c r="K208" i="1" s="1"/>
  <c r="M170" i="1"/>
  <c r="M169" i="1"/>
  <c r="M168" i="1"/>
  <c r="K159" i="1" l="1"/>
  <c r="L165" i="1"/>
  <c r="K165" i="1"/>
  <c r="M164" i="1"/>
  <c r="M163" i="1"/>
  <c r="M162" i="1"/>
  <c r="M161" i="1"/>
  <c r="M160" i="1"/>
  <c r="L159" i="1"/>
  <c r="M158" i="1"/>
  <c r="M157" i="1"/>
  <c r="M156" i="1"/>
  <c r="M155" i="1"/>
  <c r="M154" i="1"/>
  <c r="M153" i="1"/>
  <c r="M152" i="1"/>
  <c r="L151" i="1" l="1"/>
  <c r="K151" i="1"/>
  <c r="M147" i="1" l="1"/>
  <c r="M150" i="1" l="1"/>
  <c r="M149" i="1"/>
  <c r="M148" i="1"/>
  <c r="L146" i="1"/>
  <c r="K146" i="1"/>
  <c r="M145" i="1"/>
  <c r="M144" i="1"/>
  <c r="M143" i="1"/>
  <c r="M142" i="1"/>
  <c r="M141" i="1"/>
  <c r="K130" i="1" l="1"/>
  <c r="L130" i="1" s="1"/>
  <c r="K128" i="1"/>
  <c r="L128" i="1" s="1"/>
  <c r="K126" i="1"/>
  <c r="L126" i="1" s="1"/>
  <c r="L129" i="1"/>
  <c r="L127" i="1"/>
  <c r="L125" i="1"/>
  <c r="L131" i="1" l="1"/>
  <c r="K131" i="1"/>
  <c r="M138" i="1"/>
  <c r="L139" i="1" l="1"/>
  <c r="K139" i="1"/>
  <c r="M137" i="1"/>
  <c r="M136" i="1"/>
  <c r="M135" i="1"/>
  <c r="M134" i="1"/>
  <c r="M133" i="1"/>
  <c r="M132" i="1"/>
  <c r="M120" i="1" l="1"/>
  <c r="M119" i="1"/>
  <c r="L124" i="1"/>
  <c r="K124" i="1"/>
  <c r="M123" i="1"/>
  <c r="M122" i="1"/>
  <c r="M121" i="1"/>
  <c r="M118" i="1"/>
  <c r="M98" i="1" l="1"/>
  <c r="L77" i="1" l="1"/>
  <c r="L85" i="1"/>
  <c r="L107" i="1"/>
  <c r="K107" i="1"/>
  <c r="K117" i="1"/>
  <c r="K166" i="1" s="1"/>
  <c r="L117" i="1"/>
  <c r="L166" i="1" s="1"/>
  <c r="M115" i="1"/>
  <c r="M114" i="1"/>
  <c r="M113" i="1"/>
  <c r="M112" i="1"/>
  <c r="M111" i="1"/>
  <c r="M110" i="1"/>
  <c r="M103" i="1" l="1"/>
  <c r="L105" i="1"/>
  <c r="K105" i="1"/>
  <c r="M104" i="1"/>
  <c r="M102" i="1"/>
  <c r="M100" i="1"/>
  <c r="L80" i="1" l="1"/>
  <c r="K80" i="1"/>
  <c r="K77" i="1" l="1"/>
  <c r="L89" i="1"/>
  <c r="K89" i="1"/>
  <c r="L97" i="1"/>
  <c r="K97" i="1"/>
  <c r="M95" i="1"/>
  <c r="M94" i="1"/>
  <c r="M93" i="1"/>
  <c r="M92" i="1"/>
  <c r="M91" i="1"/>
  <c r="M90" i="1"/>
  <c r="L108" i="1" l="1"/>
  <c r="K85" i="1"/>
  <c r="K108" i="1" s="1"/>
  <c r="M84" i="1"/>
  <c r="M83" i="1"/>
  <c r="M82" i="1"/>
  <c r="M81" i="1"/>
  <c r="L37" i="1" l="1"/>
  <c r="L54" i="1" l="1"/>
  <c r="K54" i="1"/>
  <c r="M53" i="1"/>
  <c r="L67" i="1" l="1"/>
  <c r="K67" i="1"/>
  <c r="M66" i="1"/>
  <c r="M65" i="1"/>
  <c r="M64" i="1"/>
  <c r="M63" i="1"/>
  <c r="M76" i="1" l="1"/>
  <c r="M75" i="1"/>
  <c r="M74" i="1"/>
  <c r="M73" i="1"/>
  <c r="M72" i="1"/>
  <c r="M71" i="1"/>
  <c r="M70" i="1"/>
  <c r="L52" i="1" l="1"/>
  <c r="K52" i="1"/>
  <c r="M51" i="1"/>
  <c r="M50" i="1"/>
  <c r="M49" i="1"/>
  <c r="M48" i="1"/>
  <c r="L62" i="1" l="1"/>
  <c r="K62" i="1"/>
  <c r="M61" i="1"/>
  <c r="M60" i="1"/>
  <c r="M59" i="1"/>
  <c r="M58" i="1"/>
  <c r="M57" i="1"/>
  <c r="M56" i="1"/>
  <c r="M55" i="1"/>
  <c r="M36" i="1"/>
  <c r="M32" i="1"/>
  <c r="M33" i="1"/>
  <c r="M34" i="1"/>
  <c r="M35" i="1"/>
  <c r="K17" i="1" l="1"/>
  <c r="K15" i="1"/>
  <c r="K13" i="1"/>
  <c r="L47" i="1" l="1"/>
  <c r="L68" i="1" s="1"/>
  <c r="K47" i="1"/>
  <c r="K68" i="1" s="1"/>
  <c r="M46" i="1"/>
  <c r="M45" i="1"/>
  <c r="M44" i="1"/>
  <c r="M43" i="1"/>
  <c r="M42" i="1"/>
  <c r="M41" i="1"/>
  <c r="M40" i="1"/>
  <c r="M30" i="1" l="1"/>
  <c r="M29" i="1"/>
  <c r="M28" i="1"/>
  <c r="M27" i="1"/>
  <c r="M26" i="1"/>
  <c r="M25" i="1"/>
  <c r="M24" i="1"/>
  <c r="K18" i="1"/>
  <c r="L18" i="1"/>
  <c r="L31" i="1"/>
  <c r="K31" i="1"/>
  <c r="K37" i="1" s="1"/>
  <c r="L23" i="1"/>
  <c r="K23" i="1"/>
  <c r="L11" i="1"/>
  <c r="K11" i="1"/>
  <c r="L38" i="1" l="1"/>
  <c r="L39" i="1" s="1"/>
  <c r="L69" i="1" s="1"/>
  <c r="L109" i="1" s="1"/>
  <c r="L167" i="1" s="1"/>
  <c r="L209" i="1" s="1"/>
  <c r="L248" i="1" s="1"/>
  <c r="L303" i="1" s="1"/>
  <c r="L347" i="1" s="1"/>
  <c r="L384" i="1" s="1"/>
  <c r="L432" i="1" s="1"/>
  <c r="L485" i="1" s="1"/>
  <c r="L512" i="1" s="1"/>
  <c r="K38" i="1"/>
  <c r="K39" i="1" s="1"/>
  <c r="K69" i="1" s="1"/>
  <c r="M22" i="1"/>
  <c r="M21" i="1"/>
  <c r="M20" i="1"/>
  <c r="M19" i="1"/>
  <c r="K109" i="1" l="1"/>
  <c r="K167" i="1" s="1"/>
  <c r="K209" i="1" s="1"/>
  <c r="K248" i="1" s="1"/>
  <c r="K303" i="1" s="1"/>
  <c r="K347" i="1" s="1"/>
  <c r="K384" i="1" s="1"/>
  <c r="K432" i="1" s="1"/>
  <c r="K485" i="1" s="1"/>
  <c r="K512" i="1" s="1"/>
  <c r="M9" i="1"/>
  <c r="M10" i="1" l="1"/>
  <c r="M8" i="1"/>
  <c r="M7" i="1"/>
  <c r="M6" i="1"/>
  <c r="M5" i="1"/>
  <c r="M4" i="1"/>
  <c r="L249" i="5" l="1"/>
  <c r="O234" i="5" l="1"/>
  <c r="N234" i="5"/>
  <c r="M234" i="5"/>
  <c r="O232" i="5"/>
  <c r="N232" i="5"/>
  <c r="M232" i="5"/>
  <c r="O231" i="5"/>
  <c r="N231" i="5"/>
  <c r="M231" i="5"/>
  <c r="O230" i="5"/>
  <c r="N230" i="5"/>
  <c r="M230" i="5"/>
  <c r="O229" i="5"/>
  <c r="N229" i="5"/>
  <c r="M229" i="5"/>
  <c r="O225" i="5"/>
  <c r="N225" i="5"/>
  <c r="M225" i="5"/>
  <c r="O224" i="5"/>
  <c r="N224" i="5"/>
  <c r="M224" i="5"/>
  <c r="O222" i="5"/>
  <c r="N222" i="5"/>
  <c r="M222" i="5"/>
  <c r="L217" i="5"/>
  <c r="P216" i="5"/>
  <c r="P215" i="5"/>
  <c r="O214" i="5"/>
  <c r="N214" i="5"/>
  <c r="M214" i="5"/>
  <c r="O212" i="5"/>
  <c r="N212" i="5"/>
  <c r="M212" i="5"/>
  <c r="P210" i="5"/>
  <c r="P209" i="5"/>
  <c r="P208" i="5"/>
  <c r="P207" i="5"/>
  <c r="P206" i="5"/>
  <c r="R205" i="5"/>
  <c r="P205" i="5"/>
  <c r="O228" i="5" l="1"/>
  <c r="N228" i="5" s="1"/>
  <c r="M228" i="5" s="1"/>
  <c r="O227" i="5" s="1"/>
  <c r="N227" i="5" s="1"/>
  <c r="M227" i="5" s="1"/>
  <c r="R204" i="5"/>
  <c r="P202" i="5"/>
  <c r="P200" i="5"/>
  <c r="P199" i="5"/>
  <c r="P198" i="5"/>
  <c r="P197" i="5"/>
  <c r="R196" i="5"/>
  <c r="P196" i="5"/>
  <c r="R195" i="5"/>
  <c r="P192" i="5"/>
  <c r="P191" i="5"/>
  <c r="B191" i="5"/>
  <c r="P190" i="5"/>
  <c r="P189" i="5"/>
  <c r="P188" i="5"/>
  <c r="P187" i="5"/>
  <c r="P186" i="5"/>
  <c r="R185" i="5"/>
  <c r="P185" i="5"/>
  <c r="R184" i="5"/>
  <c r="P182" i="5"/>
  <c r="P181" i="5"/>
  <c r="P180" i="5"/>
  <c r="P179" i="5"/>
  <c r="P178" i="5"/>
  <c r="P177" i="5"/>
  <c r="B177" i="5"/>
  <c r="R176" i="5"/>
  <c r="R175" i="5"/>
  <c r="P170" i="5"/>
  <c r="P169" i="5"/>
  <c r="P168" i="5"/>
  <c r="P167" i="5"/>
  <c r="R166" i="5"/>
  <c r="P166" i="5"/>
  <c r="R165" i="5"/>
  <c r="P164" i="5"/>
  <c r="P163" i="5"/>
  <c r="P160" i="5"/>
  <c r="P158" i="5"/>
  <c r="P157" i="5"/>
  <c r="P155" i="5"/>
  <c r="P154" i="5"/>
  <c r="P153" i="5"/>
  <c r="P152" i="5"/>
  <c r="R151" i="5"/>
  <c r="P151" i="5"/>
  <c r="R150" i="5"/>
  <c r="P148" i="5"/>
  <c r="R146" i="5"/>
  <c r="P146" i="5"/>
  <c r="R145" i="5"/>
  <c r="P141" i="5"/>
  <c r="P140" i="5"/>
  <c r="P139" i="5"/>
  <c r="P138" i="5"/>
  <c r="P137" i="5"/>
  <c r="R136" i="5"/>
  <c r="R135" i="5"/>
  <c r="P131" i="5"/>
  <c r="P130" i="5"/>
  <c r="P129" i="5"/>
  <c r="P128" i="5"/>
  <c r="P127" i="5"/>
  <c r="P126" i="5"/>
  <c r="R125" i="5"/>
  <c r="R124" i="5"/>
  <c r="P122" i="5"/>
  <c r="P121" i="5"/>
  <c r="P120" i="5"/>
  <c r="P119" i="5"/>
  <c r="P118" i="5"/>
  <c r="P117" i="5"/>
  <c r="R116" i="5"/>
  <c r="R115" i="5"/>
  <c r="R114" i="5"/>
  <c r="P113" i="5"/>
  <c r="P111" i="5"/>
  <c r="P110" i="5"/>
  <c r="P109" i="5"/>
  <c r="P108" i="5"/>
  <c r="P107" i="5"/>
  <c r="R106" i="5"/>
  <c r="R105" i="5"/>
  <c r="P101" i="5"/>
  <c r="P100" i="5"/>
  <c r="P97" i="5"/>
  <c r="R96" i="5"/>
  <c r="R95" i="5"/>
  <c r="P95" i="5"/>
  <c r="R94" i="5"/>
  <c r="P94" i="5"/>
  <c r="P92" i="5"/>
  <c r="P91" i="5"/>
  <c r="P90" i="5"/>
  <c r="P89" i="5"/>
  <c r="P88" i="5"/>
  <c r="P87" i="5"/>
  <c r="P86" i="5"/>
  <c r="R85" i="5"/>
  <c r="P85" i="5"/>
  <c r="R84" i="5"/>
  <c r="P84" i="5"/>
  <c r="R83" i="5"/>
  <c r="P83" i="5"/>
  <c r="P82" i="5"/>
  <c r="W80" i="5"/>
  <c r="V80" i="5"/>
  <c r="U80" i="5"/>
  <c r="W78" i="5"/>
  <c r="V78" i="5"/>
  <c r="U78" i="5"/>
  <c r="P74" i="5"/>
  <c r="P73" i="5"/>
  <c r="R72" i="5"/>
  <c r="P72" i="5"/>
  <c r="R71" i="5"/>
  <c r="P71" i="5"/>
  <c r="R70" i="5"/>
  <c r="P70" i="5"/>
  <c r="P69" i="5"/>
  <c r="P68" i="5"/>
  <c r="R67" i="5"/>
  <c r="P67" i="5"/>
  <c r="R66" i="5"/>
  <c r="P66" i="5"/>
  <c r="P65" i="5"/>
  <c r="P64" i="5"/>
  <c r="P63" i="5" l="1"/>
  <c r="R59" i="5"/>
  <c r="P59" i="5"/>
  <c r="P58" i="5"/>
  <c r="P57" i="5"/>
  <c r="P55" i="5"/>
  <c r="P54" i="5"/>
  <c r="P53" i="5"/>
  <c r="P52" i="5"/>
  <c r="P51" i="5"/>
  <c r="P50" i="5"/>
  <c r="P49" i="5"/>
  <c r="P46" i="5"/>
  <c r="R45" i="5"/>
  <c r="R44" i="5"/>
  <c r="R43" i="5"/>
  <c r="P42" i="5"/>
  <c r="P41" i="5"/>
  <c r="P40" i="5"/>
  <c r="P39" i="5"/>
  <c r="P38" i="5"/>
  <c r="P37" i="5"/>
  <c r="R36" i="5"/>
  <c r="P36" i="5"/>
  <c r="R35" i="5"/>
  <c r="P35" i="5"/>
  <c r="R34" i="5"/>
  <c r="P34" i="5"/>
  <c r="P33" i="5"/>
  <c r="P32" i="5"/>
  <c r="P31" i="5"/>
  <c r="P30" i="5"/>
  <c r="P28" i="5"/>
  <c r="R26" i="5"/>
  <c r="P26" i="5"/>
  <c r="R25" i="5"/>
  <c r="P25" i="5"/>
  <c r="R24" i="5"/>
  <c r="P24" i="5"/>
  <c r="P23" i="5"/>
  <c r="P22" i="5"/>
  <c r="P21" i="5"/>
  <c r="P20" i="5"/>
  <c r="P19" i="5"/>
  <c r="P17" i="5"/>
  <c r="P16" i="5"/>
  <c r="P15" i="5"/>
  <c r="AB14" i="5"/>
  <c r="P14" i="5"/>
  <c r="AB13" i="5"/>
  <c r="P13" i="5"/>
  <c r="AB12" i="5"/>
  <c r="W11" i="5"/>
  <c r="V11" i="5"/>
  <c r="U11" i="5"/>
  <c r="AB16" i="5" l="1"/>
  <c r="P10" i="5"/>
  <c r="P9" i="5"/>
  <c r="P8" i="5"/>
  <c r="P7" i="5"/>
  <c r="P6" i="5"/>
  <c r="O12" i="5" l="1"/>
  <c r="AA6" i="5" s="1"/>
  <c r="AA8" i="5" s="1"/>
  <c r="O79" i="5"/>
  <c r="R79" i="5" s="1"/>
  <c r="O81" i="5"/>
  <c r="N79" i="5"/>
  <c r="M79" i="5"/>
  <c r="M81" i="5"/>
  <c r="N81" i="5"/>
  <c r="N12" i="5"/>
  <c r="M12" i="5"/>
  <c r="N226" i="5" l="1"/>
  <c r="N233" i="5" s="1"/>
  <c r="N235" i="5" s="1"/>
  <c r="P79" i="5"/>
  <c r="P12" i="5"/>
  <c r="O217" i="5"/>
  <c r="P248" i="5" s="1"/>
  <c r="N217" i="5"/>
  <c r="N218" i="5" s="1"/>
  <c r="M226" i="5"/>
  <c r="M233" i="5" s="1"/>
  <c r="M235" i="5" s="1"/>
  <c r="O226" i="5"/>
  <c r="O233" i="5" s="1"/>
  <c r="O235" i="5" s="1"/>
  <c r="M217" i="5"/>
  <c r="P81" i="5"/>
  <c r="Y6" i="5"/>
  <c r="Z6" i="5" s="1"/>
  <c r="R81" i="5"/>
  <c r="N236" i="5" l="1"/>
  <c r="O218" i="5"/>
  <c r="R39" i="5" s="1"/>
  <c r="O236" i="5"/>
  <c r="P249" i="5"/>
  <c r="P250" i="5" s="1"/>
  <c r="P217" i="5"/>
  <c r="M218" i="5"/>
  <c r="M236" i="5"/>
  <c r="Z8" i="5"/>
  <c r="AB6" i="5"/>
  <c r="AB8" i="5" s="1"/>
  <c r="R10" i="5"/>
  <c r="R61" i="5" l="1"/>
  <c r="R63" i="5"/>
  <c r="R48" i="5"/>
  <c r="R31" i="5"/>
  <c r="R20" i="5"/>
  <c r="R17" i="5"/>
  <c r="R9" i="5"/>
  <c r="R12" i="5"/>
  <c r="R21" i="5"/>
  <c r="R15" i="5"/>
  <c r="R16" i="5"/>
  <c r="R29" i="5"/>
  <c r="R8" i="5"/>
  <c r="R50" i="5"/>
  <c r="S10" i="5"/>
  <c r="S25" i="5"/>
  <c r="S35" i="5"/>
  <c r="S16" i="5"/>
  <c r="S17" i="5"/>
  <c r="S31" i="5"/>
  <c r="S61" i="5"/>
  <c r="S39" i="5"/>
  <c r="S46" i="5"/>
  <c r="S52" i="5"/>
  <c r="S72" i="5"/>
  <c r="S86" i="5"/>
  <c r="S98" i="5"/>
  <c r="S145" i="5"/>
  <c r="S162" i="5"/>
  <c r="S191" i="5"/>
  <c r="S63" i="5"/>
  <c r="S84" i="5"/>
  <c r="S105" i="5"/>
  <c r="S116" i="5"/>
  <c r="S125" i="5"/>
  <c r="S136" i="5"/>
  <c r="S157" i="5"/>
  <c r="S175" i="5"/>
  <c r="S186" i="5"/>
  <c r="S206" i="5"/>
  <c r="S8" i="5"/>
  <c r="S32" i="5"/>
  <c r="S20" i="5"/>
  <c r="S27" i="5"/>
  <c r="S50" i="5"/>
  <c r="S95" i="5"/>
  <c r="S112" i="5"/>
  <c r="S177" i="5"/>
  <c r="S114" i="5"/>
  <c r="S146" i="5"/>
  <c r="S204" i="5"/>
  <c r="S6" i="5"/>
  <c r="S26" i="5"/>
  <c r="S36" i="5"/>
  <c r="S18" i="5"/>
  <c r="S41" i="5"/>
  <c r="S21" i="5"/>
  <c r="S43" i="5"/>
  <c r="S48" i="5"/>
  <c r="S67" i="5"/>
  <c r="S73" i="5"/>
  <c r="S92" i="5"/>
  <c r="S108" i="5"/>
  <c r="S147" i="5"/>
  <c r="S165" i="5"/>
  <c r="S192" i="5"/>
  <c r="S64" i="5"/>
  <c r="S88" i="5"/>
  <c r="S106" i="5"/>
  <c r="S117" i="5"/>
  <c r="S128" i="5"/>
  <c r="S137" i="5"/>
  <c r="S166" i="5"/>
  <c r="S176" i="5"/>
  <c r="S196" i="5"/>
  <c r="S215" i="5"/>
  <c r="S68" i="5"/>
  <c r="S66" i="5"/>
  <c r="S132" i="5"/>
  <c r="S181" i="5"/>
  <c r="S9" i="5"/>
  <c r="S24" i="5"/>
  <c r="S34" i="5"/>
  <c r="S15" i="5"/>
  <c r="S29" i="5"/>
  <c r="S59" i="5"/>
  <c r="S37" i="5"/>
  <c r="S45" i="5"/>
  <c r="S51" i="5"/>
  <c r="S70" i="5"/>
  <c r="S85" i="5"/>
  <c r="S96" i="5"/>
  <c r="S142" i="5"/>
  <c r="S152" i="5"/>
  <c r="S184" i="5"/>
  <c r="S201" i="5"/>
  <c r="S71" i="5"/>
  <c r="S103" i="5"/>
  <c r="S115" i="5"/>
  <c r="S124" i="5"/>
  <c r="S135" i="5"/>
  <c r="S150" i="5"/>
  <c r="S172" i="5"/>
  <c r="S185" i="5"/>
  <c r="S205" i="5"/>
  <c r="S22" i="5"/>
  <c r="S13" i="5"/>
  <c r="S57" i="5"/>
  <c r="S44" i="5"/>
  <c r="S83" i="5"/>
  <c r="S151" i="5"/>
  <c r="S195" i="5"/>
  <c r="S94" i="5"/>
  <c r="S122" i="5"/>
  <c r="S167" i="5"/>
  <c r="R217" i="5" l="1"/>
  <c r="T26" i="5"/>
  <c r="T10" i="5"/>
  <c r="T36" i="5"/>
  <c r="T17" i="5"/>
</calcChain>
</file>

<file path=xl/sharedStrings.xml><?xml version="1.0" encoding="utf-8"?>
<sst xmlns="http://schemas.openxmlformats.org/spreadsheetml/2006/main" count="1279" uniqueCount="322">
  <si>
    <t>Tanggal Lelang/pricing</t>
  </si>
  <si>
    <t>Tanggal Setelmen</t>
  </si>
  <si>
    <t>Seri</t>
  </si>
  <si>
    <t>Jatuh 
Tempo</t>
  </si>
  <si>
    <t>Kupon/ Imbalan</t>
  </si>
  <si>
    <t>Lowest Incoming Yield/Price</t>
  </si>
  <si>
    <t>WAY Incoming</t>
  </si>
  <si>
    <t>Highest Incoming Yield/Price</t>
  </si>
  <si>
    <t>Lowest Awarded Yield/Price</t>
  </si>
  <si>
    <t>Yield/Harga Rata-rata Tertimbang</t>
  </si>
  <si>
    <t>Highest Awarded Yield/Price</t>
  </si>
  <si>
    <t>Target Penerbitan</t>
  </si>
  <si>
    <t>Total Penawaran</t>
  </si>
  <si>
    <t>Total Penawaran Memenuhi Benchmark</t>
  </si>
  <si>
    <t>Total Penawaran Diterima</t>
  </si>
  <si>
    <t>Bid to cover ratio</t>
  </si>
  <si>
    <t>Owner’s estimate</t>
  </si>
  <si>
    <t>Total</t>
  </si>
  <si>
    <t xml:space="preserve"> </t>
  </si>
  <si>
    <t>Jenis</t>
  </si>
  <si>
    <t>FR</t>
  </si>
  <si>
    <t>VR</t>
  </si>
  <si>
    <t>ORI</t>
  </si>
  <si>
    <t>SPN</t>
  </si>
  <si>
    <t>ON Valas</t>
  </si>
  <si>
    <t>Samurai Bond</t>
  </si>
  <si>
    <t>Sukuk Valas</t>
  </si>
  <si>
    <t>SDHI</t>
  </si>
  <si>
    <t>Grand Total</t>
  </si>
  <si>
    <t>IFR</t>
  </si>
  <si>
    <t>Sukuk Ritel</t>
  </si>
  <si>
    <t>Kurs yang dipakai untuk penerbitan valas:</t>
  </si>
  <si>
    <t>FR0058</t>
  </si>
  <si>
    <t>SPN-S</t>
  </si>
  <si>
    <t>FR0060</t>
  </si>
  <si>
    <t>FR0061</t>
  </si>
  <si>
    <t>PBS</t>
  </si>
  <si>
    <t>SPN12130111</t>
  </si>
  <si>
    <t>SPN03120411</t>
  </si>
  <si>
    <t>RI0142</t>
  </si>
  <si>
    <t>USD1.750.000.000</t>
  </si>
  <si>
    <t>USD3.600.000.000</t>
  </si>
  <si>
    <t>SPN03120429</t>
  </si>
  <si>
    <t>FR0059</t>
  </si>
  <si>
    <t>Hasil Penerbitan Surat Berharga Negara - 2012 (juta rupiah)</t>
  </si>
  <si>
    <t>SPN03120508</t>
  </si>
  <si>
    <t>SPN12130208</t>
  </si>
  <si>
    <t>FR0062</t>
  </si>
  <si>
    <t>PBS001</t>
  </si>
  <si>
    <t>PBS002</t>
  </si>
  <si>
    <t>PBS003</t>
  </si>
  <si>
    <t>IFR0010</t>
  </si>
  <si>
    <t>SPN-S 15082012</t>
  </si>
  <si>
    <t>PBS004</t>
  </si>
  <si>
    <t>SPN03120522</t>
  </si>
  <si>
    <t>SPN12130208 (reopening 1)</t>
  </si>
  <si>
    <t>SPN03120607</t>
  </si>
  <si>
    <t>SPN12130307</t>
  </si>
  <si>
    <t>SPN03120621</t>
  </si>
  <si>
    <t>SPN-S 14092012</t>
  </si>
  <si>
    <t>SR-004</t>
  </si>
  <si>
    <t>SDHI 2017A</t>
  </si>
  <si>
    <t>SDHI 2019A</t>
  </si>
  <si>
    <t>SDHI 2022A</t>
  </si>
  <si>
    <t>SPN12130404</t>
  </si>
  <si>
    <t>SPNS11102012</t>
  </si>
  <si>
    <t>SPN03120718</t>
  </si>
  <si>
    <t>SPN12130404 (reopening 1)</t>
  </si>
  <si>
    <t>RI0422</t>
  </si>
  <si>
    <t>USD2.000.000.000</t>
  </si>
  <si>
    <t>USD500.000.000</t>
  </si>
  <si>
    <t>USD5.900.000.000</t>
  </si>
  <si>
    <t>Persentase realisasi penerbitan/target=</t>
  </si>
  <si>
    <t>Sisa penerbitan =</t>
  </si>
  <si>
    <t>SDHI 2016A</t>
  </si>
  <si>
    <t>SDHI 2020A</t>
  </si>
  <si>
    <t>target SBN 2012 (data per 30 April 2012) =</t>
  </si>
  <si>
    <t>sisa penerbitan (271,664,408-138,767,805)=</t>
  </si>
  <si>
    <t>SPN12130502</t>
  </si>
  <si>
    <t>SPNS09112012</t>
  </si>
  <si>
    <t>SPNS09112012 (greenshoe)</t>
  </si>
  <si>
    <t>SPN03120815</t>
  </si>
  <si>
    <t>SPN12130502(reopening 1)</t>
  </si>
  <si>
    <t>SPN12130606</t>
  </si>
  <si>
    <t>SDHI2018A</t>
  </si>
  <si>
    <t>SPNS13122012</t>
  </si>
  <si>
    <t>SPN03120920</t>
  </si>
  <si>
    <t>SPN12130606 (reopneing 1)</t>
  </si>
  <si>
    <t>SPN12130704</t>
  </si>
  <si>
    <t>SPN03121018</t>
  </si>
  <si>
    <t>SPN12130704 (reopening 1)</t>
  </si>
  <si>
    <t>SPN-S 11012013</t>
  </si>
  <si>
    <t>SPN03121112</t>
  </si>
  <si>
    <t>SPN12130812</t>
  </si>
  <si>
    <t>FR0063</t>
  </si>
  <si>
    <t>FR0064</t>
  </si>
  <si>
    <t>SPN-S 08022013</t>
  </si>
  <si>
    <t>SPN-S 25012013</t>
  </si>
  <si>
    <t>FR0065</t>
  </si>
  <si>
    <t>SPN03121212</t>
  </si>
  <si>
    <t>SPN12130912</t>
  </si>
  <si>
    <t>SPN-S 19032013</t>
  </si>
  <si>
    <t>SPN-S 05032013</t>
  </si>
  <si>
    <t>SDHI 2015A</t>
  </si>
  <si>
    <t>SDHI 2020B</t>
  </si>
  <si>
    <t>SPN03130107</t>
  </si>
  <si>
    <t>SPN12131007</t>
  </si>
  <si>
    <t>ORI009</t>
  </si>
  <si>
    <t>SPN-S 03042013</t>
  </si>
  <si>
    <t>SPN-S 17042013</t>
  </si>
  <si>
    <t>FR0066</t>
  </si>
  <si>
    <t>SPN-S 30042013</t>
  </si>
  <si>
    <t>SPN03130213</t>
  </si>
  <si>
    <t>SPN12131113</t>
  </si>
  <si>
    <t>RIJPY1122</t>
  </si>
  <si>
    <t>JPY60.000.000.000</t>
  </si>
  <si>
    <t>SNI22</t>
  </si>
  <si>
    <t>USD1.000.000.000</t>
  </si>
  <si>
    <t>SPN03130304</t>
  </si>
  <si>
    <t>SPN12131204</t>
  </si>
  <si>
    <t>WAY Awarded</t>
  </si>
  <si>
    <t>T o t a l</t>
  </si>
  <si>
    <t>Tanggal Lelang/
Pricing Date</t>
  </si>
  <si>
    <t>Metode Penerbitan/ Issuance Method</t>
  </si>
  <si>
    <t>Seri/Series</t>
  </si>
  <si>
    <t>Jatuh 
Tempo/Maturity Date</t>
  </si>
  <si>
    <t>Kupon/Imbalan - Coupon</t>
  </si>
  <si>
    <t>Total Penawaran/ Incoming Bid</t>
  </si>
  <si>
    <t>Diskonto</t>
  </si>
  <si>
    <t>Nominal Dalam Juta Rupiah</t>
  </si>
  <si>
    <t>-</t>
  </si>
  <si>
    <t>FR0075</t>
  </si>
  <si>
    <t>SPN03180215</t>
  </si>
  <si>
    <t>SPN12181115</t>
  </si>
  <si>
    <t>FR0076</t>
  </si>
  <si>
    <t>SPN12200410</t>
  </si>
  <si>
    <t>FR0080</t>
  </si>
  <si>
    <t>FR0081</t>
  </si>
  <si>
    <t>FR0082</t>
  </si>
  <si>
    <t>G r a n d   T o t a l   b u l a n   J a n u a r i   2 0 2 0</t>
  </si>
  <si>
    <t>Ringkasan Hasil Penerbitan Surat Berharga Negara Tahun 2020 (juta Rupiah) / Summary Result of Government Securities Issuance in 2020 (million Rupiah)</t>
  </si>
  <si>
    <t>Tanggal Setelmen/
Settlement Date</t>
  </si>
  <si>
    <t>Total Penawaran Diterima/ 
Awarded Bid</t>
  </si>
  <si>
    <t>SPN12210108</t>
  </si>
  <si>
    <t>FR0083</t>
  </si>
  <si>
    <t>Lelang/Auction</t>
  </si>
  <si>
    <t>SPNS15072020</t>
  </si>
  <si>
    <t>PBS026</t>
  </si>
  <si>
    <t>PBS005</t>
  </si>
  <si>
    <t>Bookbuilding</t>
  </si>
  <si>
    <t>RI0230</t>
  </si>
  <si>
    <t>USD750.000.000</t>
  </si>
  <si>
    <t>RI0250</t>
  </si>
  <si>
    <t>USD1.250.000.000</t>
  </si>
  <si>
    <t>RIEUR0227</t>
  </si>
  <si>
    <t>EUR1.000.000.000</t>
  </si>
  <si>
    <t>SPN03200422</t>
  </si>
  <si>
    <t>SPN12200508</t>
  </si>
  <si>
    <t>SPN12210205</t>
  </si>
  <si>
    <t>PBS015</t>
  </si>
  <si>
    <t>SPN03200519</t>
  </si>
  <si>
    <t>G r a n d   T o t a l   s . d .   2  8   J a n u a r i   2 0 2 0</t>
  </si>
  <si>
    <t>SPNS12082020</t>
  </si>
  <si>
    <t>SPN03200604</t>
  </si>
  <si>
    <t>SPN12210304</t>
  </si>
  <si>
    <t>SBR009</t>
  </si>
  <si>
    <t>G r a n d   T o t a l   b u l a n    F e b r u a r i   2 0 2 0</t>
  </si>
  <si>
    <t>G r a n d   T o t a l   s . d .   2 7     F e b r u a r i   2 0 2 0</t>
  </si>
  <si>
    <t>G r a n d   T o t a l   b u l a n    M a r e t   2 0 2 0</t>
  </si>
  <si>
    <t>SPNS11092020</t>
  </si>
  <si>
    <t>Private Placement</t>
  </si>
  <si>
    <t>SPN12200619</t>
  </si>
  <si>
    <t>FR0074</t>
  </si>
  <si>
    <t>G r a n d   T o t a l   b u l a n   A p r i l    2 0 2 0</t>
  </si>
  <si>
    <t>SPN12200703</t>
  </si>
  <si>
    <t>SPN12210401</t>
  </si>
  <si>
    <t>G r a n d   T o t a l   s . d .   3 0    M a r e t   2 0 2 0</t>
  </si>
  <si>
    <t>SR012</t>
  </si>
  <si>
    <t>SW001</t>
  </si>
  <si>
    <t>SPNS08102020</t>
  </si>
  <si>
    <t>SPNS08012021</t>
  </si>
  <si>
    <t>SPN03200715</t>
  </si>
  <si>
    <t>RI1030</t>
  </si>
  <si>
    <t>RI1050</t>
  </si>
  <si>
    <t>RI0470</t>
  </si>
  <si>
    <t>USD1.650.000.000</t>
  </si>
  <si>
    <t>SPN03200729</t>
  </si>
  <si>
    <t>SPN12210429</t>
  </si>
  <si>
    <t>Lelang/Auction (GSO)</t>
  </si>
  <si>
    <t>G r a n d   T o t a l   s . d .   3  0    A p r i l   2 0 2 0</t>
  </si>
  <si>
    <t>G r a n d   T o t a l   b u l a n   M e i    2 0 2 0</t>
  </si>
  <si>
    <t>FR0084</t>
  </si>
  <si>
    <t>FR0085</t>
  </si>
  <si>
    <t>VR033</t>
  </si>
  <si>
    <t>BI 7 DRRR + 4 bps (First 3 month coupon is 4.54000%)</t>
  </si>
  <si>
    <t>PBS017</t>
  </si>
  <si>
    <t>PBS027</t>
  </si>
  <si>
    <t>PBS007</t>
  </si>
  <si>
    <t>Lelang/Auction (GS0)</t>
  </si>
  <si>
    <t>FR0067</t>
  </si>
  <si>
    <t>FR0073</t>
  </si>
  <si>
    <t xml:space="preserve">SPN12200814	</t>
  </si>
  <si>
    <t>PBS022</t>
  </si>
  <si>
    <t>PBS023</t>
  </si>
  <si>
    <t>SPNS06112020</t>
  </si>
  <si>
    <t>SPNS19112020</t>
  </si>
  <si>
    <t>SPN03200903</t>
  </si>
  <si>
    <t>SPN12210603</t>
  </si>
  <si>
    <t>G r a n d   T o t a l   b u l a n   J u  n  i    2 0 2 0</t>
  </si>
  <si>
    <t>SPN03200917</t>
  </si>
  <si>
    <t>SPNS10122020</t>
  </si>
  <si>
    <t xml:space="preserve"> 
4,75000%</t>
  </si>
  <si>
    <t>G r a n d   T o t a l   s . d .   2  0   M e i   2 0 2 0</t>
  </si>
  <si>
    <t>SPNS24122020</t>
  </si>
  <si>
    <t>SPN03201001</t>
  </si>
  <si>
    <t>SPN12210701</t>
  </si>
  <si>
    <t>G r a n d   T o t a l   b u l a n   J u  l  i    2 0 2 0</t>
  </si>
  <si>
    <t>G r a n d   T o t a l   s . d .   2 5    J  u  n  i   2 0 2 0</t>
  </si>
  <si>
    <t>SNI0625</t>
  </si>
  <si>
    <t>SNI0630</t>
  </si>
  <si>
    <t>SNI0650</t>
  </si>
  <si>
    <t>PBS028</t>
  </si>
  <si>
    <t>3,59375%</t>
  </si>
  <si>
    <t>5,25000%</t>
  </si>
  <si>
    <t>6,25000%</t>
  </si>
  <si>
    <t>4,87500%</t>
  </si>
  <si>
    <t>8,37500%</t>
  </si>
  <si>
    <t>3,67188%</t>
  </si>
  <si>
    <t>5,26066%</t>
  </si>
  <si>
    <t>6,35910%</t>
  </si>
  <si>
    <t>7,84726%</t>
  </si>
  <si>
    <t>8,06995%</t>
  </si>
  <si>
    <t>3,75000%</t>
  </si>
  <si>
    <t>5,28125%</t>
  </si>
  <si>
    <t>8,12500%</t>
  </si>
  <si>
    <t>RIJPY0723</t>
  </si>
  <si>
    <t>RIJPY0725</t>
  </si>
  <si>
    <t>RIJPY0727</t>
  </si>
  <si>
    <t>RIJPY0730</t>
  </si>
  <si>
    <t>RIJPY0740</t>
  </si>
  <si>
    <t>JPY50.700.000.000</t>
  </si>
  <si>
    <t>JPY24.300.000.000</t>
  </si>
  <si>
    <t>JPY10.100.000.000</t>
  </si>
  <si>
    <t>JPY13.400.000.000</t>
  </si>
  <si>
    <t>JPY1.500.000.000</t>
  </si>
  <si>
    <t>ORI017</t>
  </si>
  <si>
    <t>SPN03201015</t>
  </si>
  <si>
    <t>G r a n d   T o t a l   s . d .  30    J  u  l  i   2 0 2 0</t>
  </si>
  <si>
    <t>SPN03201029</t>
  </si>
  <si>
    <t>VR034</t>
  </si>
  <si>
    <t>VR035</t>
  </si>
  <si>
    <t>VR036</t>
  </si>
  <si>
    <t>VR037</t>
  </si>
  <si>
    <t>BI Reverse Repo 3 month (First 3 month coupon is 3.80000%)</t>
  </si>
  <si>
    <t>G r a n d   T o t a l   b u l a n   A g u s t u s   2 0 2 0</t>
  </si>
  <si>
    <t>SPN03201112</t>
  </si>
  <si>
    <t>SPN12210812</t>
  </si>
  <si>
    <t>FR0086</t>
  </si>
  <si>
    <t>FR0087</t>
  </si>
  <si>
    <t>SPNS05022021</t>
  </si>
  <si>
    <t>PBS025</t>
  </si>
  <si>
    <t>SPN03201126</t>
  </si>
  <si>
    <t>VR038</t>
  </si>
  <si>
    <t>VR039</t>
  </si>
  <si>
    <t>VR040</t>
  </si>
  <si>
    <t>VR041</t>
  </si>
  <si>
    <t>PBSNTQ01</t>
  </si>
  <si>
    <t>G r a n d   T o t a l   b u l a n   S e p t e m b e r   2 0 2 0</t>
  </si>
  <si>
    <t>SPN03201209</t>
  </si>
  <si>
    <t>SPN12210909</t>
  </si>
  <si>
    <t>G r a n d   T o t a l   s . d .  31 A g u s t u s 2 0 2 0</t>
  </si>
  <si>
    <t>SPNS02032021</t>
  </si>
  <si>
    <t>SPN03201223</t>
  </si>
  <si>
    <t>SR013</t>
  </si>
  <si>
    <t>G r a n d   T o t a l   s . d .  3 0   S e p t e m b e r 2 0 2 0</t>
  </si>
  <si>
    <t>Lelang/Auction GSO</t>
  </si>
  <si>
    <t>VR042</t>
  </si>
  <si>
    <t>VR043</t>
  </si>
  <si>
    <t>VR044</t>
  </si>
  <si>
    <t>VR045</t>
  </si>
  <si>
    <t>BI Reverse Repo 3 month (First 3 month coupon is 3.84002%)</t>
  </si>
  <si>
    <t>SPN12211007</t>
  </si>
  <si>
    <t>VR046</t>
  </si>
  <si>
    <t>VR047</t>
  </si>
  <si>
    <t>VR048</t>
  </si>
  <si>
    <t>VR049</t>
  </si>
  <si>
    <t>BI Reverse Repo 3 month (First 3 month coupon is 3.84000%)</t>
  </si>
  <si>
    <t>SPN03210121</t>
  </si>
  <si>
    <t>VR050</t>
  </si>
  <si>
    <t>VR051</t>
  </si>
  <si>
    <t>VR052</t>
  </si>
  <si>
    <t>VR053</t>
  </si>
  <si>
    <t>ORI018</t>
  </si>
  <si>
    <t>SPNS14042021</t>
  </si>
  <si>
    <t>G r a n d   T o t a l   b u l a n   O k t o b e r   2 0 2 0</t>
  </si>
  <si>
    <t>G r a n d   T o t a l   s . d . 2 7  O k t o b e r   2 0 2 0</t>
  </si>
  <si>
    <t>G r a n d   T o t a l   b u l a n   N o v e m b e r   2 0 2 0</t>
  </si>
  <si>
    <t>SPN12211104</t>
  </si>
  <si>
    <t>VR054</t>
  </si>
  <si>
    <t>VR055</t>
  </si>
  <si>
    <t>VR056</t>
  </si>
  <si>
    <t>VR057</t>
  </si>
  <si>
    <t>BI Reverse Repo 3 month (First 3 month coupon is 3.82067%)</t>
  </si>
  <si>
    <t>SPN03210218</t>
  </si>
  <si>
    <t>VR058</t>
  </si>
  <si>
    <t>VR059</t>
  </si>
  <si>
    <t>VR060</t>
  </si>
  <si>
    <t>VR061</t>
  </si>
  <si>
    <t>BI Reverse Repo 3 month (First 3 month coupon is 3.81729%)</t>
  </si>
  <si>
    <t>SPNS11052021</t>
  </si>
  <si>
    <t>SWR001</t>
  </si>
  <si>
    <t>G r a n d   T o t a l   s . d .  2 6  N o v e m b e r  2 0 2 0</t>
  </si>
  <si>
    <t>ST007</t>
  </si>
  <si>
    <t>SPN12211202</t>
  </si>
  <si>
    <t>G r a n d   T o t a l   b u l a n   D e s e m b e r   2 0 2 0</t>
  </si>
  <si>
    <t>VR062</t>
  </si>
  <si>
    <t>VR063</t>
  </si>
  <si>
    <t>VR064</t>
  </si>
  <si>
    <t>VR065</t>
  </si>
  <si>
    <t>BI Reverse Repo 3 month (First 3 month coupon is 3.57326%)</t>
  </si>
  <si>
    <t>SPNS09062021</t>
  </si>
  <si>
    <t>G r a n d   T o t a l   s . d .  2 8  D e s e m b e r  2 0 2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</si>
</sst>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0.00000%"/>
    <numFmt numFmtId="166" formatCode="_(* #,##0_);_(* \(#,##0\);_(* &quot;-&quot;??_);_(@_)"/>
    <numFmt numFmtId="167" formatCode="[$-409]d\-mmm;@"/>
    <numFmt numFmtId="168" formatCode="[$-409]d\-mmm\-yy;@"/>
    <numFmt numFmtId="169" formatCode="0.0000%"/>
  </numFmts>
  <fonts count="38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1"/>
      <color indexed="8"/>
      <name val="Calibri"/>
      <family val="2"/>
      <charset val="1"/>
    </font>
    <font>
      <sz val="11"/>
      <color indexed="10"/>
      <name val="Calibri"/>
      <family val="2"/>
      <charset val="1"/>
    </font>
    <font>
      <b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16"/>
      <name val="Arial"/>
      <family val="2"/>
    </font>
    <font>
      <b/>
      <sz val="8"/>
      <color theme="0"/>
      <name val="Arial"/>
      <family val="2"/>
    </font>
    <font>
      <sz val="8"/>
      <color rgb="FF000000"/>
      <name val="Arial"/>
      <family val="2"/>
    </font>
    <font>
      <i/>
      <sz val="8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Calibri"/>
      <family val="2"/>
      <scheme val="minor"/>
    </font>
    <font>
      <sz val="9"/>
      <color indexed="8"/>
      <name val="Arial"/>
      <charset val="1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color rgb="FF000000"/>
      <name val="Arial"/>
    </font>
    <font>
      <sz val="8"/>
      <name val="Arial"/>
    </font>
    <font>
      <sz val="8"/>
      <color indexed="8"/>
      <name val="Arial"/>
    </font>
    <font>
      <b/>
      <sz val="8"/>
      <color rgb="FF000000"/>
      <name val="Arial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660066"/>
        <bgColor indexed="64"/>
      </patternFill>
    </fill>
  </fills>
  <borders count="6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507">
    <xf numFmtId="0" fontId="0" fillId="0" borderId="0" xfId="0"/>
    <xf numFmtId="0" fontId="19" fillId="0" borderId="0" xfId="0" applyFont="1"/>
    <xf numFmtId="0" fontId="20" fillId="0" borderId="0" xfId="0" applyFont="1"/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16" fontId="19" fillId="0" borderId="13" xfId="0" applyNumberFormat="1" applyFont="1" applyBorder="1" applyAlignment="1">
      <alignment horizontal="right"/>
    </xf>
    <xf numFmtId="16" fontId="19" fillId="0" borderId="0" xfId="0" applyNumberFormat="1" applyFont="1" applyBorder="1" applyAlignment="1">
      <alignment horizontal="right"/>
    </xf>
    <xf numFmtId="0" fontId="19" fillId="0" borderId="14" xfId="0" applyFont="1" applyBorder="1" applyAlignment="1"/>
    <xf numFmtId="15" fontId="19" fillId="0" borderId="15" xfId="0" applyNumberFormat="1" applyFont="1" applyBorder="1" applyAlignment="1"/>
    <xf numFmtId="10" fontId="19" fillId="0" borderId="16" xfId="41" applyNumberFormat="1" applyFont="1" applyBorder="1" applyAlignment="1"/>
    <xf numFmtId="10" fontId="19" fillId="0" borderId="17" xfId="29" applyNumberFormat="1" applyFont="1" applyBorder="1" applyAlignment="1"/>
    <xf numFmtId="10" fontId="19" fillId="0" borderId="15" xfId="29" applyNumberFormat="1" applyFont="1" applyBorder="1" applyAlignment="1"/>
    <xf numFmtId="41" fontId="19" fillId="0" borderId="15" xfId="29" applyFont="1" applyBorder="1" applyAlignment="1"/>
    <xf numFmtId="41" fontId="19" fillId="0" borderId="16" xfId="29" applyFont="1" applyBorder="1" applyAlignment="1"/>
    <xf numFmtId="41" fontId="19" fillId="0" borderId="18" xfId="29" applyFont="1" applyBorder="1" applyAlignment="1"/>
    <xf numFmtId="0" fontId="19" fillId="0" borderId="13" xfId="0" applyNumberFormat="1" applyFont="1" applyBorder="1" applyAlignment="1"/>
    <xf numFmtId="0" fontId="19" fillId="0" borderId="0" xfId="0" applyNumberFormat="1" applyFont="1" applyBorder="1" applyAlignment="1"/>
    <xf numFmtId="0" fontId="20" fillId="0" borderId="14" xfId="0" applyFont="1" applyBorder="1" applyAlignment="1"/>
    <xf numFmtId="15" fontId="20" fillId="0" borderId="15" xfId="0" applyNumberFormat="1" applyFont="1" applyBorder="1" applyAlignment="1"/>
    <xf numFmtId="10" fontId="20" fillId="0" borderId="16" xfId="41" applyNumberFormat="1" applyFont="1" applyBorder="1" applyAlignment="1"/>
    <xf numFmtId="0" fontId="20" fillId="0" borderId="15" xfId="0" applyFont="1" applyBorder="1" applyAlignment="1"/>
    <xf numFmtId="41" fontId="20" fillId="0" borderId="15" xfId="29" applyFont="1" applyBorder="1" applyAlignment="1"/>
    <xf numFmtId="41" fontId="20" fillId="0" borderId="16" xfId="29" applyFont="1" applyBorder="1" applyAlignment="1"/>
    <xf numFmtId="41" fontId="20" fillId="0" borderId="14" xfId="29" applyFont="1" applyBorder="1" applyAlignment="1"/>
    <xf numFmtId="41" fontId="20" fillId="0" borderId="18" xfId="29" applyFont="1" applyBorder="1" applyAlignment="1"/>
    <xf numFmtId="9" fontId="20" fillId="0" borderId="16" xfId="41" applyFont="1" applyBorder="1" applyAlignment="1"/>
    <xf numFmtId="165" fontId="20" fillId="0" borderId="16" xfId="41" applyNumberFormat="1" applyFont="1" applyBorder="1" applyAlignment="1"/>
    <xf numFmtId="165" fontId="20" fillId="0" borderId="15" xfId="0" applyNumberFormat="1" applyFont="1" applyBorder="1" applyAlignment="1"/>
    <xf numFmtId="43" fontId="20" fillId="0" borderId="0" xfId="28" applyFont="1"/>
    <xf numFmtId="16" fontId="19" fillId="0" borderId="19" xfId="0" applyNumberFormat="1" applyFont="1" applyBorder="1" applyAlignment="1">
      <alignment horizontal="right"/>
    </xf>
    <xf numFmtId="16" fontId="19" fillId="0" borderId="20" xfId="0" applyNumberFormat="1" applyFont="1" applyBorder="1" applyAlignment="1">
      <alignment horizontal="right"/>
    </xf>
    <xf numFmtId="0" fontId="19" fillId="0" borderId="21" xfId="0" applyFont="1" applyBorder="1"/>
    <xf numFmtId="15" fontId="19" fillId="0" borderId="10" xfId="0" applyNumberFormat="1" applyFont="1" applyBorder="1"/>
    <xf numFmtId="10" fontId="19" fillId="0" borderId="11" xfId="41" applyNumberFormat="1" applyFont="1" applyBorder="1"/>
    <xf numFmtId="10" fontId="19" fillId="0" borderId="10" xfId="29" applyNumberFormat="1" applyFont="1" applyBorder="1"/>
    <xf numFmtId="41" fontId="19" fillId="0" borderId="10" xfId="29" applyFont="1" applyBorder="1"/>
    <xf numFmtId="164" fontId="19" fillId="0" borderId="12" xfId="29" applyNumberFormat="1" applyFont="1" applyFill="1" applyBorder="1" applyAlignment="1">
      <alignment horizontal="center"/>
    </xf>
    <xf numFmtId="41" fontId="19" fillId="0" borderId="11" xfId="29" applyFont="1" applyBorder="1"/>
    <xf numFmtId="41" fontId="20" fillId="0" borderId="0" xfId="0" applyNumberFormat="1" applyFont="1"/>
    <xf numFmtId="0" fontId="20" fillId="0" borderId="0" xfId="0" applyNumberFormat="1" applyFont="1"/>
    <xf numFmtId="0" fontId="20" fillId="0" borderId="22" xfId="0" applyFont="1" applyBorder="1" applyAlignment="1">
      <alignment horizontal="center" vertical="center" wrapText="1"/>
    </xf>
    <xf numFmtId="41" fontId="20" fillId="24" borderId="22" xfId="0" applyNumberFormat="1" applyFont="1" applyFill="1" applyBorder="1"/>
    <xf numFmtId="9" fontId="20" fillId="0" borderId="0" xfId="41" applyFont="1"/>
    <xf numFmtId="0" fontId="19" fillId="25" borderId="22" xfId="0" applyFont="1" applyFill="1" applyBorder="1"/>
    <xf numFmtId="41" fontId="19" fillId="25" borderId="22" xfId="0" applyNumberFormat="1" applyFont="1" applyFill="1" applyBorder="1"/>
    <xf numFmtId="164" fontId="20" fillId="0" borderId="18" xfId="29" applyNumberFormat="1" applyFont="1" applyBorder="1" applyAlignment="1"/>
    <xf numFmtId="41" fontId="20" fillId="24" borderId="22" xfId="0" applyNumberFormat="1" applyFont="1" applyFill="1" applyBorder="1" applyAlignment="1">
      <alignment horizontal="left"/>
    </xf>
    <xf numFmtId="41" fontId="20" fillId="0" borderId="22" xfId="0" applyNumberFormat="1" applyFont="1" applyFill="1" applyBorder="1" applyAlignment="1">
      <alignment horizontal="left"/>
    </xf>
    <xf numFmtId="41" fontId="20" fillId="0" borderId="22" xfId="0" applyNumberFormat="1" applyFont="1" applyFill="1" applyBorder="1"/>
    <xf numFmtId="43" fontId="20" fillId="0" borderId="16" xfId="28" applyFont="1" applyBorder="1" applyAlignment="1"/>
    <xf numFmtId="41" fontId="19" fillId="0" borderId="22" xfId="0" applyNumberFormat="1" applyFont="1" applyFill="1" applyBorder="1" applyAlignment="1">
      <alignment horizontal="left"/>
    </xf>
    <xf numFmtId="41" fontId="19" fillId="0" borderId="22" xfId="0" applyNumberFormat="1" applyFont="1" applyFill="1" applyBorder="1"/>
    <xf numFmtId="0" fontId="20" fillId="0" borderId="0" xfId="0" applyFont="1" applyBorder="1" applyAlignment="1">
      <alignment horizontal="center" vertical="center" wrapText="1"/>
    </xf>
    <xf numFmtId="41" fontId="19" fillId="0" borderId="0" xfId="29" applyFont="1" applyBorder="1" applyAlignment="1"/>
    <xf numFmtId="9" fontId="20" fillId="0" borderId="0" xfId="41" applyFont="1" applyBorder="1" applyAlignment="1"/>
    <xf numFmtId="10" fontId="20" fillId="0" borderId="0" xfId="41" applyNumberFormat="1" applyFont="1" applyBorder="1" applyAlignment="1"/>
    <xf numFmtId="43" fontId="20" fillId="0" borderId="0" xfId="0" applyNumberFormat="1" applyFont="1"/>
    <xf numFmtId="10" fontId="20" fillId="0" borderId="0" xfId="0" applyNumberFormat="1" applyFont="1"/>
    <xf numFmtId="0" fontId="19" fillId="0" borderId="0" xfId="0" applyFont="1" applyAlignment="1">
      <alignment vertical="top"/>
    </xf>
    <xf numFmtId="167" fontId="20" fillId="0" borderId="23" xfId="0" applyNumberFormat="1" applyFont="1" applyBorder="1" applyAlignment="1"/>
    <xf numFmtId="167" fontId="20" fillId="0" borderId="15" xfId="0" applyNumberFormat="1" applyFont="1" applyBorder="1" applyAlignment="1"/>
    <xf numFmtId="43" fontId="20" fillId="0" borderId="0" xfId="41" applyNumberFormat="1" applyFont="1"/>
    <xf numFmtId="0" fontId="20" fillId="0" borderId="24" xfId="0" applyFont="1" applyBorder="1" applyAlignment="1">
      <alignment horizontal="center" vertical="center" wrapText="1"/>
    </xf>
    <xf numFmtId="0" fontId="20" fillId="0" borderId="14" xfId="0" applyFont="1" applyFill="1" applyBorder="1" applyAlignment="1"/>
    <xf numFmtId="15" fontId="20" fillId="0" borderId="15" xfId="0" applyNumberFormat="1" applyFont="1" applyFill="1" applyBorder="1" applyAlignment="1"/>
    <xf numFmtId="165" fontId="20" fillId="0" borderId="16" xfId="41" applyNumberFormat="1" applyFont="1" applyFill="1" applyBorder="1" applyAlignment="1"/>
    <xf numFmtId="165" fontId="20" fillId="0" borderId="15" xfId="0" applyNumberFormat="1" applyFont="1" applyFill="1" applyBorder="1" applyAlignment="1"/>
    <xf numFmtId="41" fontId="20" fillId="0" borderId="15" xfId="29" applyFont="1" applyFill="1" applyBorder="1" applyAlignment="1"/>
    <xf numFmtId="164" fontId="20" fillId="0" borderId="18" xfId="29" applyNumberFormat="1" applyFont="1" applyFill="1" applyBorder="1" applyAlignment="1"/>
    <xf numFmtId="10" fontId="20" fillId="0" borderId="25" xfId="41" applyNumberFormat="1" applyFont="1" applyFill="1" applyBorder="1" applyAlignment="1"/>
    <xf numFmtId="0" fontId="20" fillId="0" borderId="0" xfId="0" applyFont="1" applyFill="1"/>
    <xf numFmtId="167" fontId="20" fillId="0" borderId="26" xfId="0" applyNumberFormat="1" applyFont="1" applyFill="1" applyBorder="1" applyAlignment="1"/>
    <xf numFmtId="167" fontId="20" fillId="0" borderId="23" xfId="0" applyNumberFormat="1" applyFont="1" applyFill="1" applyBorder="1" applyAlignment="1"/>
    <xf numFmtId="167" fontId="20" fillId="0" borderId="15" xfId="0" applyNumberFormat="1" applyFont="1" applyFill="1" applyBorder="1" applyAlignment="1"/>
    <xf numFmtId="43" fontId="20" fillId="0" borderId="16" xfId="28" applyFont="1" applyFill="1" applyBorder="1" applyAlignment="1"/>
    <xf numFmtId="167" fontId="20" fillId="0" borderId="27" xfId="0" applyNumberFormat="1" applyFont="1" applyFill="1" applyBorder="1" applyAlignment="1"/>
    <xf numFmtId="0" fontId="20" fillId="0" borderId="28" xfId="0" applyFont="1" applyFill="1" applyBorder="1" applyAlignment="1"/>
    <xf numFmtId="15" fontId="20" fillId="0" borderId="26" xfId="0" applyNumberFormat="1" applyFont="1" applyFill="1" applyBorder="1" applyAlignment="1"/>
    <xf numFmtId="165" fontId="20" fillId="0" borderId="26" xfId="41" applyNumberFormat="1" applyFont="1" applyFill="1" applyBorder="1" applyAlignment="1"/>
    <xf numFmtId="165" fontId="20" fillId="0" borderId="29" xfId="41" applyNumberFormat="1" applyFont="1" applyFill="1" applyBorder="1" applyAlignment="1"/>
    <xf numFmtId="165" fontId="20" fillId="0" borderId="26" xfId="0" applyNumberFormat="1" applyFont="1" applyFill="1" applyBorder="1" applyAlignment="1"/>
    <xf numFmtId="41" fontId="20" fillId="0" borderId="26" xfId="29" applyFont="1" applyFill="1" applyBorder="1" applyAlignment="1"/>
    <xf numFmtId="41" fontId="20" fillId="0" borderId="26" xfId="29" applyFont="1" applyFill="1" applyBorder="1" applyAlignment="1">
      <alignment horizontal="right"/>
    </xf>
    <xf numFmtId="164" fontId="20" fillId="0" borderId="30" xfId="29" applyNumberFormat="1" applyFont="1" applyFill="1" applyBorder="1" applyAlignment="1"/>
    <xf numFmtId="10" fontId="20" fillId="0" borderId="31" xfId="41" applyNumberFormat="1" applyFont="1" applyFill="1" applyBorder="1" applyAlignment="1"/>
    <xf numFmtId="166" fontId="20" fillId="0" borderId="0" xfId="28" applyNumberFormat="1" applyFont="1"/>
    <xf numFmtId="43" fontId="19" fillId="0" borderId="0" xfId="28" applyFont="1" applyBorder="1"/>
    <xf numFmtId="167" fontId="20" fillId="0" borderId="0" xfId="0" applyNumberFormat="1" applyFont="1" applyBorder="1" applyAlignment="1"/>
    <xf numFmtId="167" fontId="20" fillId="26" borderId="23" xfId="0" applyNumberFormat="1" applyFont="1" applyFill="1" applyBorder="1" applyAlignment="1"/>
    <xf numFmtId="167" fontId="20" fillId="26" borderId="15" xfId="0" applyNumberFormat="1" applyFont="1" applyFill="1" applyBorder="1" applyAlignment="1"/>
    <xf numFmtId="0" fontId="20" fillId="26" borderId="14" xfId="0" applyFont="1" applyFill="1" applyBorder="1" applyAlignment="1"/>
    <xf numFmtId="15" fontId="20" fillId="26" borderId="15" xfId="0" applyNumberFormat="1" applyFont="1" applyFill="1" applyBorder="1" applyAlignment="1"/>
    <xf numFmtId="43" fontId="20" fillId="26" borderId="16" xfId="28" applyFont="1" applyFill="1" applyBorder="1" applyAlignment="1"/>
    <xf numFmtId="165" fontId="20" fillId="26" borderId="16" xfId="41" applyNumberFormat="1" applyFont="1" applyFill="1" applyBorder="1" applyAlignment="1"/>
    <xf numFmtId="165" fontId="20" fillId="26" borderId="15" xfId="0" applyNumberFormat="1" applyFont="1" applyFill="1" applyBorder="1" applyAlignment="1"/>
    <xf numFmtId="41" fontId="20" fillId="26" borderId="15" xfId="29" applyFont="1" applyFill="1" applyBorder="1" applyAlignment="1"/>
    <xf numFmtId="164" fontId="20" fillId="26" borderId="18" xfId="29" applyNumberFormat="1" applyFont="1" applyFill="1" applyBorder="1" applyAlignment="1"/>
    <xf numFmtId="10" fontId="20" fillId="26" borderId="0" xfId="41" applyNumberFormat="1" applyFont="1" applyFill="1" applyBorder="1" applyAlignment="1"/>
    <xf numFmtId="167" fontId="20" fillId="26" borderId="0" xfId="0" applyNumberFormat="1" applyFont="1" applyFill="1" applyBorder="1" applyAlignment="1"/>
    <xf numFmtId="0" fontId="19" fillId="26" borderId="13" xfId="0" applyNumberFormat="1" applyFont="1" applyFill="1" applyBorder="1" applyAlignment="1"/>
    <xf numFmtId="0" fontId="19" fillId="26" borderId="0" xfId="0" applyNumberFormat="1" applyFont="1" applyFill="1" applyBorder="1" applyAlignment="1"/>
    <xf numFmtId="10" fontId="20" fillId="0" borderId="0" xfId="41" applyNumberFormat="1" applyFont="1"/>
    <xf numFmtId="10" fontId="20" fillId="0" borderId="16" xfId="28" applyNumberFormat="1" applyFont="1" applyBorder="1" applyAlignment="1"/>
    <xf numFmtId="165" fontId="20" fillId="0" borderId="16" xfId="28" applyNumberFormat="1" applyFont="1" applyBorder="1" applyAlignment="1"/>
    <xf numFmtId="10" fontId="20" fillId="27" borderId="0" xfId="41" applyNumberFormat="1" applyFont="1" applyFill="1" applyBorder="1" applyAlignment="1"/>
    <xf numFmtId="43" fontId="20" fillId="27" borderId="0" xfId="0" applyNumberFormat="1" applyFont="1" applyFill="1"/>
    <xf numFmtId="0" fontId="20" fillId="27" borderId="0" xfId="0" applyFont="1" applyFill="1"/>
    <xf numFmtId="10" fontId="20" fillId="0" borderId="0" xfId="41" applyNumberFormat="1" applyFont="1" applyFill="1" applyBorder="1" applyAlignment="1"/>
    <xf numFmtId="0" fontId="19" fillId="0" borderId="13" xfId="0" applyNumberFormat="1" applyFont="1" applyFill="1" applyBorder="1" applyAlignment="1"/>
    <xf numFmtId="167" fontId="20" fillId="0" borderId="0" xfId="0" applyNumberFormat="1" applyFont="1" applyFill="1" applyBorder="1" applyAlignment="1"/>
    <xf numFmtId="0" fontId="19" fillId="0" borderId="0" xfId="0" applyNumberFormat="1" applyFont="1" applyFill="1" applyBorder="1" applyAlignment="1"/>
    <xf numFmtId="164" fontId="21" fillId="0" borderId="30" xfId="29" applyNumberFormat="1" applyFont="1" applyFill="1" applyBorder="1" applyAlignment="1"/>
    <xf numFmtId="41" fontId="20" fillId="0" borderId="26" xfId="29" applyFont="1" applyBorder="1" applyAlignment="1"/>
    <xf numFmtId="165" fontId="20" fillId="0" borderId="14" xfId="0" applyNumberFormat="1" applyFont="1" applyFill="1" applyBorder="1" applyAlignment="1"/>
    <xf numFmtId="165" fontId="20" fillId="0" borderId="28" xfId="0" applyNumberFormat="1" applyFont="1" applyFill="1" applyBorder="1" applyAlignment="1"/>
    <xf numFmtId="0" fontId="20" fillId="0" borderId="22" xfId="0" applyFont="1" applyBorder="1"/>
    <xf numFmtId="41" fontId="19" fillId="0" borderId="22" xfId="29" applyFont="1" applyBorder="1"/>
    <xf numFmtId="41" fontId="20" fillId="0" borderId="22" xfId="0" applyNumberFormat="1" applyFont="1" applyBorder="1"/>
    <xf numFmtId="10" fontId="20" fillId="0" borderId="22" xfId="41" applyNumberFormat="1" applyFont="1" applyBorder="1"/>
    <xf numFmtId="10" fontId="20" fillId="0" borderId="22" xfId="0" applyNumberFormat="1" applyFont="1" applyBorder="1"/>
    <xf numFmtId="10" fontId="20" fillId="25" borderId="0" xfId="41" applyNumberFormat="1" applyFont="1" applyFill="1" applyBorder="1" applyAlignment="1"/>
    <xf numFmtId="43" fontId="20" fillId="25" borderId="0" xfId="0" applyNumberFormat="1" applyFont="1" applyFill="1"/>
    <xf numFmtId="0" fontId="20" fillId="25" borderId="0" xfId="0" applyFont="1" applyFill="1"/>
    <xf numFmtId="167" fontId="20" fillId="26" borderId="27" xfId="0" applyNumberFormat="1" applyFont="1" applyFill="1" applyBorder="1" applyAlignment="1"/>
    <xf numFmtId="0" fontId="20" fillId="26" borderId="28" xfId="0" applyFont="1" applyFill="1" applyBorder="1" applyAlignment="1"/>
    <xf numFmtId="15" fontId="20" fillId="26" borderId="26" xfId="0" applyNumberFormat="1" applyFont="1" applyFill="1" applyBorder="1" applyAlignment="1"/>
    <xf numFmtId="43" fontId="20" fillId="26" borderId="29" xfId="28" applyFont="1" applyFill="1" applyBorder="1" applyAlignment="1"/>
    <xf numFmtId="165" fontId="20" fillId="26" borderId="29" xfId="41" applyNumberFormat="1" applyFont="1" applyFill="1" applyBorder="1" applyAlignment="1"/>
    <xf numFmtId="165" fontId="20" fillId="26" borderId="26" xfId="0" applyNumberFormat="1" applyFont="1" applyFill="1" applyBorder="1" applyAlignment="1"/>
    <xf numFmtId="41" fontId="20" fillId="26" borderId="26" xfId="29" applyFont="1" applyFill="1" applyBorder="1" applyAlignment="1"/>
    <xf numFmtId="164" fontId="20" fillId="26" borderId="30" xfId="29" applyNumberFormat="1" applyFont="1" applyFill="1" applyBorder="1" applyAlignment="1"/>
    <xf numFmtId="10" fontId="20" fillId="26" borderId="33" xfId="41" applyNumberFormat="1" applyFont="1" applyFill="1" applyBorder="1" applyAlignment="1"/>
    <xf numFmtId="0" fontId="19" fillId="26" borderId="34" xfId="0" applyNumberFormat="1" applyFont="1" applyFill="1" applyBorder="1" applyAlignment="1"/>
    <xf numFmtId="167" fontId="20" fillId="26" borderId="35" xfId="0" applyNumberFormat="1" applyFont="1" applyFill="1" applyBorder="1" applyAlignment="1"/>
    <xf numFmtId="0" fontId="20" fillId="26" borderId="36" xfId="0" applyFont="1" applyFill="1" applyBorder="1" applyAlignment="1"/>
    <xf numFmtId="15" fontId="20" fillId="26" borderId="32" xfId="0" applyNumberFormat="1" applyFont="1" applyFill="1" applyBorder="1" applyAlignment="1"/>
    <xf numFmtId="43" fontId="20" fillId="26" borderId="37" xfId="28" applyFont="1" applyFill="1" applyBorder="1" applyAlignment="1"/>
    <xf numFmtId="165" fontId="20" fillId="26" borderId="37" xfId="41" applyNumberFormat="1" applyFont="1" applyFill="1" applyBorder="1" applyAlignment="1"/>
    <xf numFmtId="165" fontId="20" fillId="26" borderId="32" xfId="0" applyNumberFormat="1" applyFont="1" applyFill="1" applyBorder="1" applyAlignment="1"/>
    <xf numFmtId="41" fontId="20" fillId="26" borderId="32" xfId="29" applyFont="1" applyFill="1" applyBorder="1" applyAlignment="1"/>
    <xf numFmtId="164" fontId="20" fillId="26" borderId="38" xfId="29" applyNumberFormat="1" applyFont="1" applyFill="1" applyBorder="1" applyAlignment="1"/>
    <xf numFmtId="10" fontId="20" fillId="26" borderId="35" xfId="41" applyNumberFormat="1" applyFont="1" applyFill="1" applyBorder="1" applyAlignment="1"/>
    <xf numFmtId="0" fontId="19" fillId="26" borderId="39" xfId="0" applyNumberFormat="1" applyFont="1" applyFill="1" applyBorder="1" applyAlignment="1"/>
    <xf numFmtId="0" fontId="19" fillId="26" borderId="40" xfId="0" applyNumberFormat="1" applyFont="1" applyFill="1" applyBorder="1" applyAlignment="1"/>
    <xf numFmtId="0" fontId="20" fillId="26" borderId="41" xfId="0" applyFont="1" applyFill="1" applyBorder="1" applyAlignment="1"/>
    <xf numFmtId="15" fontId="20" fillId="26" borderId="42" xfId="0" applyNumberFormat="1" applyFont="1" applyFill="1" applyBorder="1" applyAlignment="1"/>
    <xf numFmtId="165" fontId="20" fillId="26" borderId="43" xfId="41" applyNumberFormat="1" applyFont="1" applyFill="1" applyBorder="1" applyAlignment="1"/>
    <xf numFmtId="165" fontId="20" fillId="26" borderId="42" xfId="0" applyNumberFormat="1" applyFont="1" applyFill="1" applyBorder="1" applyAlignment="1"/>
    <xf numFmtId="41" fontId="20" fillId="26" borderId="42" xfId="29" applyFont="1" applyFill="1" applyBorder="1" applyAlignment="1"/>
    <xf numFmtId="164" fontId="20" fillId="26" borderId="44" xfId="29" applyNumberFormat="1" applyFont="1" applyFill="1" applyBorder="1" applyAlignment="1"/>
    <xf numFmtId="10" fontId="20" fillId="26" borderId="40" xfId="41" applyNumberFormat="1" applyFont="1" applyFill="1" applyBorder="1" applyAlignment="1"/>
    <xf numFmtId="41" fontId="20" fillId="0" borderId="15" xfId="29" applyFont="1" applyFill="1" applyBorder="1" applyAlignment="1">
      <alignment horizontal="right"/>
    </xf>
    <xf numFmtId="0" fontId="19" fillId="26" borderId="35" xfId="0" applyNumberFormat="1" applyFont="1" applyFill="1" applyBorder="1" applyAlignment="1"/>
    <xf numFmtId="0" fontId="22" fillId="0" borderId="0" xfId="0" applyFont="1"/>
    <xf numFmtId="15" fontId="20" fillId="26" borderId="0" xfId="0" applyNumberFormat="1" applyFont="1" applyFill="1" applyBorder="1" applyAlignment="1"/>
    <xf numFmtId="165" fontId="20" fillId="26" borderId="0" xfId="41" applyNumberFormat="1" applyFont="1" applyFill="1" applyBorder="1" applyAlignment="1"/>
    <xf numFmtId="10" fontId="20" fillId="0" borderId="33" xfId="41" applyNumberFormat="1" applyFont="1" applyFill="1" applyBorder="1" applyAlignment="1"/>
    <xf numFmtId="43" fontId="20" fillId="0" borderId="0" xfId="0" applyNumberFormat="1" applyFont="1" applyFill="1"/>
    <xf numFmtId="0" fontId="20" fillId="0" borderId="36" xfId="0" applyFont="1" applyFill="1" applyBorder="1" applyAlignment="1"/>
    <xf numFmtId="15" fontId="20" fillId="0" borderId="32" xfId="0" applyNumberFormat="1" applyFont="1" applyFill="1" applyBorder="1" applyAlignment="1"/>
    <xf numFmtId="165" fontId="20" fillId="0" borderId="37" xfId="41" applyNumberFormat="1" applyFont="1" applyFill="1" applyBorder="1" applyAlignment="1"/>
    <xf numFmtId="41" fontId="20" fillId="0" borderId="32" xfId="29" applyFont="1" applyFill="1" applyBorder="1" applyAlignment="1"/>
    <xf numFmtId="10" fontId="20" fillId="0" borderId="35" xfId="41" applyNumberFormat="1" applyFont="1" applyFill="1" applyBorder="1" applyAlignment="1"/>
    <xf numFmtId="167" fontId="20" fillId="0" borderId="46" xfId="0" applyNumberFormat="1" applyFont="1" applyFill="1" applyBorder="1" applyAlignment="1"/>
    <xf numFmtId="165" fontId="20" fillId="0" borderId="16" xfId="0" applyNumberFormat="1" applyFont="1" applyBorder="1" applyAlignment="1"/>
    <xf numFmtId="41" fontId="20" fillId="26" borderId="15" xfId="29" applyFont="1" applyFill="1" applyBorder="1" applyAlignment="1">
      <alignment horizontal="right"/>
    </xf>
    <xf numFmtId="167" fontId="20" fillId="0" borderId="15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9" fillId="0" borderId="47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15" fontId="20" fillId="0" borderId="47" xfId="0" applyNumberFormat="1" applyFont="1" applyFill="1" applyBorder="1" applyAlignment="1">
      <alignment horizontal="center"/>
    </xf>
    <xf numFmtId="165" fontId="20" fillId="0" borderId="0" xfId="0" applyNumberFormat="1" applyFont="1" applyAlignment="1">
      <alignment horizontal="center"/>
    </xf>
    <xf numFmtId="41" fontId="20" fillId="0" borderId="47" xfId="29" quotePrefix="1" applyFont="1" applyFill="1" applyBorder="1" applyAlignment="1"/>
    <xf numFmtId="0" fontId="20" fillId="0" borderId="47" xfId="0" applyNumberFormat="1" applyFont="1" applyFill="1" applyBorder="1" applyAlignment="1">
      <alignment horizontal="center"/>
    </xf>
    <xf numFmtId="0" fontId="23" fillId="28" borderId="22" xfId="0" applyFont="1" applyFill="1" applyBorder="1" applyAlignment="1">
      <alignment horizontal="center" vertical="center" wrapText="1"/>
    </xf>
    <xf numFmtId="165" fontId="23" fillId="28" borderId="22" xfId="0" applyNumberFormat="1" applyFont="1" applyFill="1" applyBorder="1" applyAlignment="1">
      <alignment horizontal="center" vertical="center" wrapText="1"/>
    </xf>
    <xf numFmtId="0" fontId="23" fillId="28" borderId="10" xfId="0" applyFont="1" applyFill="1" applyBorder="1" applyAlignment="1">
      <alignment horizontal="center" vertical="center" wrapText="1"/>
    </xf>
    <xf numFmtId="168" fontId="20" fillId="0" borderId="47" xfId="0" applyNumberFormat="1" applyFont="1" applyFill="1" applyBorder="1" applyAlignment="1">
      <alignment horizontal="center"/>
    </xf>
    <xf numFmtId="165" fontId="20" fillId="0" borderId="47" xfId="0" applyNumberFormat="1" applyFont="1" applyFill="1" applyBorder="1" applyAlignment="1">
      <alignment horizontal="center"/>
    </xf>
    <xf numFmtId="0" fontId="20" fillId="0" borderId="0" xfId="0" applyFont="1"/>
    <xf numFmtId="164" fontId="19" fillId="0" borderId="22" xfId="29" applyNumberFormat="1" applyFont="1" applyFill="1" applyBorder="1" applyAlignment="1">
      <alignment horizontal="center"/>
    </xf>
    <xf numFmtId="41" fontId="19" fillId="0" borderId="22" xfId="29" applyFont="1" applyBorder="1" applyAlignment="1">
      <alignment horizontal="center"/>
    </xf>
    <xf numFmtId="165" fontId="20" fillId="0" borderId="47" xfId="41" applyNumberFormat="1" applyFont="1" applyFill="1" applyBorder="1" applyAlignment="1">
      <alignment horizontal="center"/>
    </xf>
    <xf numFmtId="164" fontId="20" fillId="0" borderId="47" xfId="29" applyNumberFormat="1" applyFont="1" applyFill="1" applyBorder="1" applyAlignment="1">
      <alignment horizontal="center"/>
    </xf>
    <xf numFmtId="41" fontId="20" fillId="0" borderId="47" xfId="29" applyFont="1" applyFill="1" applyBorder="1" applyAlignment="1"/>
    <xf numFmtId="15" fontId="0" fillId="0" borderId="0" xfId="0" applyNumberFormat="1"/>
    <xf numFmtId="10" fontId="0" fillId="0" borderId="0" xfId="0" applyNumberFormat="1"/>
    <xf numFmtId="3" fontId="0" fillId="0" borderId="0" xfId="0" applyNumberFormat="1"/>
    <xf numFmtId="41" fontId="20" fillId="0" borderId="48" xfId="29" quotePrefix="1" applyFont="1" applyFill="1" applyBorder="1" applyAlignment="1"/>
    <xf numFmtId="41" fontId="20" fillId="0" borderId="48" xfId="29" applyFont="1" applyFill="1" applyBorder="1" applyAlignment="1"/>
    <xf numFmtId="164" fontId="20" fillId="0" borderId="48" xfId="29" applyNumberFormat="1" applyFont="1" applyFill="1" applyBorder="1" applyAlignment="1">
      <alignment horizontal="center"/>
    </xf>
    <xf numFmtId="41" fontId="20" fillId="0" borderId="47" xfId="29" quotePrefix="1" applyFont="1" applyFill="1" applyBorder="1" applyAlignment="1">
      <alignment horizontal="right"/>
    </xf>
    <xf numFmtId="164" fontId="20" fillId="0" borderId="47" xfId="29" applyNumberFormat="1" applyFont="1" applyFill="1" applyBorder="1" applyAlignment="1">
      <alignment horizontal="right"/>
    </xf>
    <xf numFmtId="165" fontId="20" fillId="0" borderId="49" xfId="0" applyNumberFormat="1" applyFont="1" applyFill="1" applyBorder="1" applyAlignment="1">
      <alignment horizontal="center"/>
    </xf>
    <xf numFmtId="41" fontId="20" fillId="0" borderId="47" xfId="29" quotePrefix="1" applyFont="1" applyFill="1" applyBorder="1" applyAlignment="1">
      <alignment horizontal="left"/>
    </xf>
    <xf numFmtId="165" fontId="20" fillId="0" borderId="25" xfId="41" applyNumberFormat="1" applyFont="1" applyFill="1" applyBorder="1" applyAlignment="1">
      <alignment horizontal="center"/>
    </xf>
    <xf numFmtId="15" fontId="20" fillId="0" borderId="25" xfId="0" applyNumberFormat="1" applyFont="1" applyFill="1" applyBorder="1" applyAlignment="1">
      <alignment horizontal="center"/>
    </xf>
    <xf numFmtId="0" fontId="19" fillId="0" borderId="25" xfId="0" applyNumberFormat="1" applyFont="1" applyFill="1" applyBorder="1" applyAlignment="1">
      <alignment horizontal="center"/>
    </xf>
    <xf numFmtId="0" fontId="20" fillId="0" borderId="47" xfId="0" applyFont="1" applyFill="1" applyBorder="1" applyAlignment="1">
      <alignment horizontal="center"/>
    </xf>
    <xf numFmtId="0" fontId="19" fillId="0" borderId="0" xfId="0" applyFont="1" applyAlignment="1">
      <alignment horizontal="left"/>
    </xf>
    <xf numFmtId="0" fontId="24" fillId="0" borderId="47" xfId="0" applyFont="1" applyBorder="1"/>
    <xf numFmtId="0" fontId="24" fillId="0" borderId="25" xfId="0" applyFont="1" applyBorder="1"/>
    <xf numFmtId="41" fontId="20" fillId="0" borderId="53" xfId="29" quotePrefix="1" applyFont="1" applyFill="1" applyBorder="1" applyAlignment="1"/>
    <xf numFmtId="164" fontId="20" fillId="0" borderId="53" xfId="29" applyNumberFormat="1" applyFont="1" applyFill="1" applyBorder="1" applyAlignment="1">
      <alignment horizontal="center"/>
    </xf>
    <xf numFmtId="0" fontId="20" fillId="0" borderId="25" xfId="0" applyNumberFormat="1" applyFont="1" applyFill="1" applyBorder="1" applyAlignment="1">
      <alignment horizontal="center"/>
    </xf>
    <xf numFmtId="0" fontId="20" fillId="0" borderId="0" xfId="0" applyFont="1" applyFill="1" applyBorder="1"/>
    <xf numFmtId="0" fontId="19" fillId="0" borderId="54" xfId="0" applyNumberFormat="1" applyFont="1" applyFill="1" applyBorder="1" applyAlignment="1">
      <alignment horizontal="center"/>
    </xf>
    <xf numFmtId="15" fontId="20" fillId="0" borderId="49" xfId="0" applyNumberFormat="1" applyFont="1" applyFill="1" applyBorder="1" applyAlignment="1">
      <alignment horizontal="center"/>
    </xf>
    <xf numFmtId="0" fontId="20" fillId="0" borderId="49" xfId="0" applyNumberFormat="1" applyFont="1" applyFill="1" applyBorder="1" applyAlignment="1">
      <alignment horizontal="center"/>
    </xf>
    <xf numFmtId="165" fontId="20" fillId="0" borderId="49" xfId="41" applyNumberFormat="1" applyFont="1" applyFill="1" applyBorder="1" applyAlignment="1">
      <alignment horizontal="center"/>
    </xf>
    <xf numFmtId="165" fontId="20" fillId="0" borderId="54" xfId="0" applyNumberFormat="1" applyFont="1" applyFill="1" applyBorder="1" applyAlignment="1">
      <alignment horizontal="center"/>
    </xf>
    <xf numFmtId="15" fontId="20" fillId="0" borderId="55" xfId="0" applyNumberFormat="1" applyFont="1" applyFill="1" applyBorder="1" applyAlignment="1">
      <alignment horizontal="center"/>
    </xf>
    <xf numFmtId="0" fontId="19" fillId="0" borderId="56" xfId="0" applyNumberFormat="1" applyFont="1" applyFill="1" applyBorder="1" applyAlignment="1">
      <alignment horizontal="center"/>
    </xf>
    <xf numFmtId="0" fontId="24" fillId="0" borderId="49" xfId="0" applyFont="1" applyBorder="1"/>
    <xf numFmtId="0" fontId="20" fillId="0" borderId="54" xfId="0" applyNumberFormat="1" applyFont="1" applyFill="1" applyBorder="1" applyAlignment="1">
      <alignment horizontal="left"/>
    </xf>
    <xf numFmtId="15" fontId="20" fillId="0" borderId="54" xfId="0" applyNumberFormat="1" applyFont="1" applyFill="1" applyBorder="1" applyAlignment="1">
      <alignment horizontal="center"/>
    </xf>
    <xf numFmtId="165" fontId="20" fillId="0" borderId="54" xfId="41" applyNumberFormat="1" applyFont="1" applyFill="1" applyBorder="1" applyAlignment="1">
      <alignment horizontal="center"/>
    </xf>
    <xf numFmtId="165" fontId="20" fillId="0" borderId="25" xfId="0" applyNumberFormat="1" applyFont="1" applyFill="1" applyBorder="1" applyAlignment="1">
      <alignment horizontal="center"/>
    </xf>
    <xf numFmtId="41" fontId="20" fillId="0" borderId="47" xfId="29" applyFont="1" applyFill="1" applyBorder="1" applyAlignment="1">
      <alignment horizontal="left"/>
    </xf>
    <xf numFmtId="41" fontId="19" fillId="0" borderId="53" xfId="29" quotePrefix="1" applyFont="1" applyFill="1" applyBorder="1" applyAlignment="1"/>
    <xf numFmtId="168" fontId="25" fillId="0" borderId="47" xfId="0" applyNumberFormat="1" applyFont="1" applyFill="1" applyBorder="1" applyAlignment="1">
      <alignment horizontal="center"/>
    </xf>
    <xf numFmtId="0" fontId="20" fillId="0" borderId="47" xfId="0" applyFont="1" applyFill="1" applyBorder="1" applyAlignment="1">
      <alignment horizontal="left"/>
    </xf>
    <xf numFmtId="165" fontId="20" fillId="0" borderId="0" xfId="41" applyNumberFormat="1" applyFont="1" applyFill="1" applyBorder="1" applyAlignment="1">
      <alignment horizontal="center"/>
    </xf>
    <xf numFmtId="0" fontId="19" fillId="0" borderId="25" xfId="0" applyNumberFormat="1" applyFont="1" applyFill="1" applyBorder="1" applyAlignment="1">
      <alignment horizontal="center"/>
    </xf>
    <xf numFmtId="165" fontId="20" fillId="0" borderId="47" xfId="41" quotePrefix="1" applyNumberFormat="1" applyFont="1" applyFill="1" applyBorder="1" applyAlignment="1">
      <alignment horizontal="center"/>
    </xf>
    <xf numFmtId="165" fontId="20" fillId="0" borderId="47" xfId="0" quotePrefix="1" applyNumberFormat="1" applyFont="1" applyFill="1" applyBorder="1" applyAlignment="1">
      <alignment horizontal="center"/>
    </xf>
    <xf numFmtId="164" fontId="20" fillId="0" borderId="47" xfId="29" quotePrefix="1" applyNumberFormat="1" applyFont="1" applyFill="1" applyBorder="1" applyAlignment="1">
      <alignment horizontal="right"/>
    </xf>
    <xf numFmtId="0" fontId="26" fillId="0" borderId="0" xfId="0" applyFont="1" applyFill="1"/>
    <xf numFmtId="41" fontId="19" fillId="0" borderId="47" xfId="29" quotePrefix="1" applyFont="1" applyFill="1" applyBorder="1" applyAlignment="1"/>
    <xf numFmtId="15" fontId="20" fillId="0" borderId="53" xfId="0" applyNumberFormat="1" applyFont="1" applyFill="1" applyBorder="1" applyAlignment="1">
      <alignment horizontal="center"/>
    </xf>
    <xf numFmtId="0" fontId="20" fillId="0" borderId="53" xfId="0" applyNumberFormat="1" applyFont="1" applyFill="1" applyBorder="1" applyAlignment="1">
      <alignment horizontal="center"/>
    </xf>
    <xf numFmtId="0" fontId="20" fillId="0" borderId="53" xfId="0" applyNumberFormat="1" applyFont="1" applyFill="1" applyBorder="1" applyAlignment="1">
      <alignment horizontal="left"/>
    </xf>
    <xf numFmtId="165" fontId="20" fillId="0" borderId="53" xfId="41" applyNumberFormat="1" applyFont="1" applyFill="1" applyBorder="1" applyAlignment="1">
      <alignment horizontal="center"/>
    </xf>
    <xf numFmtId="0" fontId="19" fillId="0" borderId="53" xfId="0" applyNumberFormat="1" applyFont="1" applyFill="1" applyBorder="1" applyAlignment="1">
      <alignment horizontal="center"/>
    </xf>
    <xf numFmtId="164" fontId="20" fillId="0" borderId="53" xfId="29" applyNumberFormat="1" applyFont="1" applyFill="1" applyBorder="1" applyAlignment="1">
      <alignment horizontal="right"/>
    </xf>
    <xf numFmtId="168" fontId="25" fillId="0" borderId="53" xfId="0" applyNumberFormat="1" applyFont="1" applyFill="1" applyBorder="1" applyAlignment="1">
      <alignment horizontal="center"/>
    </xf>
    <xf numFmtId="0" fontId="20" fillId="0" borderId="53" xfId="0" applyFont="1" applyFill="1" applyBorder="1" applyAlignment="1">
      <alignment horizontal="left"/>
    </xf>
    <xf numFmtId="165" fontId="20" fillId="0" borderId="53" xfId="0" applyNumberFormat="1" applyFont="1" applyFill="1" applyBorder="1" applyAlignment="1">
      <alignment horizontal="center"/>
    </xf>
    <xf numFmtId="0" fontId="24" fillId="0" borderId="53" xfId="0" applyFont="1" applyBorder="1"/>
    <xf numFmtId="15" fontId="27" fillId="0" borderId="47" xfId="0" applyNumberFormat="1" applyFont="1" applyFill="1" applyBorder="1" applyAlignment="1">
      <alignment horizontal="center"/>
    </xf>
    <xf numFmtId="0" fontId="27" fillId="0" borderId="25" xfId="0" applyNumberFormat="1" applyFont="1" applyFill="1" applyBorder="1" applyAlignment="1">
      <alignment horizontal="center"/>
    </xf>
    <xf numFmtId="0" fontId="27" fillId="0" borderId="25" xfId="0" applyFont="1" applyBorder="1"/>
    <xf numFmtId="15" fontId="27" fillId="0" borderId="25" xfId="0" applyNumberFormat="1" applyFont="1" applyFill="1" applyBorder="1" applyAlignment="1">
      <alignment horizontal="center"/>
    </xf>
    <xf numFmtId="0" fontId="27" fillId="0" borderId="47" xfId="0" applyFont="1" applyFill="1" applyBorder="1" applyAlignment="1">
      <alignment horizontal="center"/>
    </xf>
    <xf numFmtId="165" fontId="27" fillId="0" borderId="25" xfId="41" applyNumberFormat="1" applyFont="1" applyFill="1" applyBorder="1" applyAlignment="1">
      <alignment horizontal="center"/>
    </xf>
    <xf numFmtId="165" fontId="27" fillId="0" borderId="47" xfId="0" applyNumberFormat="1" applyFont="1" applyFill="1" applyBorder="1" applyAlignment="1">
      <alignment horizontal="center"/>
    </xf>
    <xf numFmtId="41" fontId="27" fillId="0" borderId="47" xfId="29" applyFont="1" applyFill="1" applyBorder="1" applyAlignment="1"/>
    <xf numFmtId="164" fontId="27" fillId="0" borderId="47" xfId="29" applyNumberFormat="1" applyFont="1" applyFill="1" applyBorder="1" applyAlignment="1">
      <alignment horizontal="right"/>
    </xf>
    <xf numFmtId="0" fontId="27" fillId="0" borderId="0" xfId="0" applyFont="1" applyFill="1" applyBorder="1"/>
    <xf numFmtId="0" fontId="28" fillId="0" borderId="47" xfId="0" applyNumberFormat="1" applyFont="1" applyFill="1" applyBorder="1" applyAlignment="1">
      <alignment horizontal="center"/>
    </xf>
    <xf numFmtId="0" fontId="28" fillId="0" borderId="25" xfId="0" applyNumberFormat="1" applyFont="1" applyFill="1" applyBorder="1" applyAlignment="1">
      <alignment horizontal="center"/>
    </xf>
    <xf numFmtId="41" fontId="27" fillId="0" borderId="47" xfId="29" quotePrefix="1" applyFont="1" applyFill="1" applyBorder="1" applyAlignment="1"/>
    <xf numFmtId="0" fontId="27" fillId="0" borderId="0" xfId="0" applyFont="1" applyFill="1"/>
    <xf numFmtId="165" fontId="27" fillId="0" borderId="47" xfId="41" applyNumberFormat="1" applyFont="1" applyFill="1" applyBorder="1" applyAlignment="1">
      <alignment horizontal="center"/>
    </xf>
    <xf numFmtId="0" fontId="27" fillId="0" borderId="47" xfId="0" applyFont="1" applyBorder="1"/>
    <xf numFmtId="165" fontId="27" fillId="0" borderId="47" xfId="41" quotePrefix="1" applyNumberFormat="1" applyFont="1" applyFill="1" applyBorder="1" applyAlignment="1">
      <alignment horizontal="center"/>
    </xf>
    <xf numFmtId="41" fontId="28" fillId="0" borderId="53" xfId="29" quotePrefix="1" applyFont="1" applyFill="1" applyBorder="1" applyAlignment="1"/>
    <xf numFmtId="0" fontId="20" fillId="0" borderId="0" xfId="0" quotePrefix="1" applyFont="1" applyFill="1"/>
    <xf numFmtId="41" fontId="19" fillId="0" borderId="52" xfId="29" quotePrefix="1" applyFont="1" applyFill="1" applyBorder="1" applyAlignment="1"/>
    <xf numFmtId="165" fontId="27" fillId="0" borderId="25" xfId="41" quotePrefix="1" applyNumberFormat="1" applyFont="1" applyFill="1" applyBorder="1" applyAlignment="1">
      <alignment horizontal="center"/>
    </xf>
    <xf numFmtId="165" fontId="20" fillId="0" borderId="47" xfId="41" quotePrefix="1" applyNumberFormat="1" applyFont="1" applyFill="1" applyBorder="1" applyAlignment="1">
      <alignment horizontal="right" indent="1"/>
    </xf>
    <xf numFmtId="0" fontId="20" fillId="0" borderId="0" xfId="0" quotePrefix="1" applyFont="1" applyFill="1" applyAlignment="1">
      <alignment horizontal="center"/>
    </xf>
    <xf numFmtId="0" fontId="28" fillId="0" borderId="47" xfId="0" applyNumberFormat="1" applyFont="1" applyFill="1" applyBorder="1" applyAlignment="1">
      <alignment horizontal="center" vertical="center"/>
    </xf>
    <xf numFmtId="0" fontId="28" fillId="0" borderId="25" xfId="0" applyNumberFormat="1" applyFont="1" applyFill="1" applyBorder="1" applyAlignment="1">
      <alignment horizontal="center" vertical="center"/>
    </xf>
    <xf numFmtId="0" fontId="27" fillId="0" borderId="25" xfId="0" applyFont="1" applyBorder="1" applyAlignment="1">
      <alignment vertical="center"/>
    </xf>
    <xf numFmtId="15" fontId="27" fillId="0" borderId="25" xfId="0" applyNumberFormat="1" applyFont="1" applyFill="1" applyBorder="1" applyAlignment="1">
      <alignment horizontal="center" vertical="center"/>
    </xf>
    <xf numFmtId="165" fontId="27" fillId="0" borderId="47" xfId="41" applyNumberFormat="1" applyFont="1" applyFill="1" applyBorder="1" applyAlignment="1">
      <alignment horizontal="center" vertical="center" wrapText="1"/>
    </xf>
    <xf numFmtId="165" fontId="27" fillId="0" borderId="25" xfId="41" applyNumberFormat="1" applyFont="1" applyFill="1" applyBorder="1" applyAlignment="1">
      <alignment horizontal="center" vertical="center"/>
    </xf>
    <xf numFmtId="10" fontId="27" fillId="0" borderId="47" xfId="0" applyNumberFormat="1" applyFont="1" applyFill="1" applyBorder="1" applyAlignment="1">
      <alignment horizontal="center" vertical="center"/>
    </xf>
    <xf numFmtId="41" fontId="27" fillId="0" borderId="47" xfId="29" quotePrefix="1" applyFont="1" applyFill="1" applyBorder="1" applyAlignment="1">
      <alignment vertical="center"/>
    </xf>
    <xf numFmtId="164" fontId="27" fillId="0" borderId="47" xfId="29" applyNumberFormat="1" applyFont="1" applyFill="1" applyBorder="1" applyAlignment="1">
      <alignment horizontal="right" vertical="center"/>
    </xf>
    <xf numFmtId="0" fontId="27" fillId="0" borderId="0" xfId="0" applyFont="1" applyFill="1" applyAlignment="1">
      <alignment vertical="center"/>
    </xf>
    <xf numFmtId="41" fontId="28" fillId="0" borderId="47" xfId="29" quotePrefix="1" applyFont="1" applyFill="1" applyBorder="1" applyAlignment="1"/>
    <xf numFmtId="165" fontId="27" fillId="0" borderId="47" xfId="0" quotePrefix="1" applyNumberFormat="1" applyFont="1" applyFill="1" applyBorder="1" applyAlignment="1">
      <alignment horizontal="center"/>
    </xf>
    <xf numFmtId="0" fontId="19" fillId="0" borderId="25" xfId="0" applyNumberFormat="1" applyFont="1" applyFill="1" applyBorder="1" applyAlignment="1">
      <alignment horizontal="center"/>
    </xf>
    <xf numFmtId="15" fontId="20" fillId="0" borderId="48" xfId="0" applyNumberFormat="1" applyFont="1" applyFill="1" applyBorder="1" applyAlignment="1">
      <alignment horizontal="center"/>
    </xf>
    <xf numFmtId="0" fontId="20" fillId="0" borderId="25" xfId="0" applyFont="1" applyFill="1" applyBorder="1"/>
    <xf numFmtId="15" fontId="27" fillId="0" borderId="48" xfId="0" applyNumberFormat="1" applyFont="1" applyFill="1" applyBorder="1" applyAlignment="1">
      <alignment horizontal="center"/>
    </xf>
    <xf numFmtId="0" fontId="20" fillId="0" borderId="47" xfId="0" applyFont="1" applyFill="1" applyBorder="1"/>
    <xf numFmtId="0" fontId="19" fillId="0" borderId="57" xfId="0" applyNumberFormat="1" applyFont="1" applyFill="1" applyBorder="1" applyAlignment="1">
      <alignment horizontal="center"/>
    </xf>
    <xf numFmtId="0" fontId="24" fillId="0" borderId="40" xfId="0" applyFont="1" applyBorder="1"/>
    <xf numFmtId="0" fontId="20" fillId="0" borderId="48" xfId="0" applyNumberFormat="1" applyFont="1" applyFill="1" applyBorder="1" applyAlignment="1">
      <alignment horizontal="center"/>
    </xf>
    <xf numFmtId="165" fontId="20" fillId="0" borderId="57" xfId="41" applyNumberFormat="1" applyFont="1" applyFill="1" applyBorder="1" applyAlignment="1">
      <alignment horizontal="center"/>
    </xf>
    <xf numFmtId="165" fontId="20" fillId="0" borderId="25" xfId="0" quotePrefix="1" applyNumberFormat="1" applyFont="1" applyFill="1" applyBorder="1" applyAlignment="1">
      <alignment horizontal="center"/>
    </xf>
    <xf numFmtId="0" fontId="27" fillId="0" borderId="33" xfId="0" applyNumberFormat="1" applyFont="1" applyFill="1" applyBorder="1" applyAlignment="1">
      <alignment horizontal="left"/>
    </xf>
    <xf numFmtId="0" fontId="27" fillId="0" borderId="48" xfId="0" applyNumberFormat="1" applyFont="1" applyFill="1" applyBorder="1" applyAlignment="1">
      <alignment horizontal="center"/>
    </xf>
    <xf numFmtId="169" fontId="27" fillId="0" borderId="48" xfId="0" applyNumberFormat="1" applyFont="1" applyFill="1" applyBorder="1" applyAlignment="1">
      <alignment horizontal="center"/>
    </xf>
    <xf numFmtId="165" fontId="27" fillId="0" borderId="48" xfId="0" applyNumberFormat="1" applyFont="1" applyFill="1" applyBorder="1" applyAlignment="1">
      <alignment horizontal="center"/>
    </xf>
    <xf numFmtId="0" fontId="28" fillId="0" borderId="48" xfId="0" quotePrefix="1" applyNumberFormat="1" applyFont="1" applyFill="1" applyBorder="1" applyAlignment="1">
      <alignment horizontal="center"/>
    </xf>
    <xf numFmtId="165" fontId="20" fillId="0" borderId="57" xfId="0" quotePrefix="1" applyNumberFormat="1" applyFont="1" applyFill="1" applyBorder="1" applyAlignment="1">
      <alignment horizontal="center"/>
    </xf>
    <xf numFmtId="0" fontId="28" fillId="0" borderId="31" xfId="0" quotePrefix="1" applyNumberFormat="1" applyFont="1" applyFill="1" applyBorder="1" applyAlignment="1">
      <alignment horizontal="center"/>
    </xf>
    <xf numFmtId="165" fontId="20" fillId="0" borderId="58" xfId="0" quotePrefix="1" applyNumberFormat="1" applyFont="1" applyFill="1" applyBorder="1" applyAlignment="1">
      <alignment horizontal="center"/>
    </xf>
    <xf numFmtId="15" fontId="27" fillId="0" borderId="49" xfId="0" applyNumberFormat="1" applyFont="1" applyFill="1" applyBorder="1" applyAlignment="1">
      <alignment horizontal="center"/>
    </xf>
    <xf numFmtId="0" fontId="20" fillId="0" borderId="55" xfId="0" applyNumberFormat="1" applyFont="1" applyFill="1" applyBorder="1" applyAlignment="1">
      <alignment horizontal="center"/>
    </xf>
    <xf numFmtId="0" fontId="27" fillId="0" borderId="49" xfId="0" applyNumberFormat="1" applyFont="1" applyFill="1" applyBorder="1" applyAlignment="1">
      <alignment horizontal="center"/>
    </xf>
    <xf numFmtId="165" fontId="27" fillId="0" borderId="49" xfId="0" applyNumberFormat="1" applyFont="1" applyFill="1" applyBorder="1" applyAlignment="1">
      <alignment horizontal="center"/>
    </xf>
    <xf numFmtId="0" fontId="28" fillId="0" borderId="49" xfId="0" quotePrefix="1" applyNumberFormat="1" applyFont="1" applyFill="1" applyBorder="1" applyAlignment="1">
      <alignment horizontal="center"/>
    </xf>
    <xf numFmtId="0" fontId="27" fillId="0" borderId="0" xfId="0" quotePrefix="1" applyFont="1" applyFill="1" applyBorder="1"/>
    <xf numFmtId="164" fontId="27" fillId="0" borderId="47" xfId="29" quotePrefix="1" applyNumberFormat="1" applyFont="1" applyFill="1" applyBorder="1" applyAlignment="1">
      <alignment horizontal="right"/>
    </xf>
    <xf numFmtId="0" fontId="27" fillId="0" borderId="27" xfId="0" applyNumberFormat="1" applyFont="1" applyFill="1" applyBorder="1" applyAlignment="1">
      <alignment horizontal="left"/>
    </xf>
    <xf numFmtId="15" fontId="20" fillId="0" borderId="47" xfId="0" applyNumberFormat="1" applyFont="1" applyFill="1" applyBorder="1" applyAlignment="1">
      <alignment horizontal="center"/>
    </xf>
    <xf numFmtId="165" fontId="20" fillId="0" borderId="0" xfId="0" applyNumberFormat="1" applyFont="1" applyAlignment="1">
      <alignment horizontal="center"/>
    </xf>
    <xf numFmtId="165" fontId="20" fillId="0" borderId="47" xfId="0" applyNumberFormat="1" applyFont="1" applyFill="1" applyBorder="1" applyAlignment="1">
      <alignment horizontal="center"/>
    </xf>
    <xf numFmtId="165" fontId="20" fillId="0" borderId="47" xfId="41" applyNumberFormat="1" applyFont="1" applyFill="1" applyBorder="1" applyAlignment="1">
      <alignment horizontal="center"/>
    </xf>
    <xf numFmtId="0" fontId="24" fillId="0" borderId="47" xfId="0" applyFont="1" applyBorder="1"/>
    <xf numFmtId="165" fontId="20" fillId="0" borderId="47" xfId="0" quotePrefix="1" applyNumberFormat="1" applyFont="1" applyFill="1" applyBorder="1" applyAlignment="1">
      <alignment horizontal="center"/>
    </xf>
    <xf numFmtId="15" fontId="27" fillId="0" borderId="47" xfId="0" applyNumberFormat="1" applyFont="1" applyFill="1" applyBorder="1" applyAlignment="1">
      <alignment horizontal="center"/>
    </xf>
    <xf numFmtId="0" fontId="27" fillId="0" borderId="25" xfId="0" applyFont="1" applyBorder="1"/>
    <xf numFmtId="15" fontId="27" fillId="0" borderId="25" xfId="0" applyNumberFormat="1" applyFont="1" applyFill="1" applyBorder="1" applyAlignment="1">
      <alignment horizontal="center"/>
    </xf>
    <xf numFmtId="165" fontId="27" fillId="0" borderId="47" xfId="41" applyNumberFormat="1" applyFont="1" applyFill="1" applyBorder="1" applyAlignment="1">
      <alignment horizontal="center"/>
    </xf>
    <xf numFmtId="0" fontId="27" fillId="0" borderId="47" xfId="0" applyFont="1" applyBorder="1"/>
    <xf numFmtId="165" fontId="27" fillId="0" borderId="47" xfId="41" quotePrefix="1" applyNumberFormat="1" applyFont="1" applyFill="1" applyBorder="1" applyAlignment="1">
      <alignment horizontal="center"/>
    </xf>
    <xf numFmtId="15" fontId="20" fillId="0" borderId="48" xfId="0" applyNumberFormat="1" applyFont="1" applyFill="1" applyBorder="1" applyAlignment="1">
      <alignment horizontal="center"/>
    </xf>
    <xf numFmtId="0" fontId="27" fillId="0" borderId="27" xfId="0" applyNumberFormat="1" applyFont="1" applyFill="1" applyBorder="1" applyAlignment="1">
      <alignment horizontal="left"/>
    </xf>
    <xf numFmtId="41" fontId="19" fillId="0" borderId="22" xfId="29" applyFont="1" applyBorder="1" applyAlignment="1">
      <alignment horizontal="center"/>
    </xf>
    <xf numFmtId="41" fontId="20" fillId="0" borderId="47" xfId="29" quotePrefix="1" applyFont="1" applyFill="1" applyBorder="1" applyAlignment="1">
      <alignment horizontal="left"/>
    </xf>
    <xf numFmtId="0" fontId="27" fillId="0" borderId="47" xfId="0" applyFont="1" applyFill="1" applyBorder="1" applyAlignment="1">
      <alignment horizontal="center"/>
    </xf>
    <xf numFmtId="164" fontId="27" fillId="0" borderId="47" xfId="29" applyNumberFormat="1" applyFont="1" applyFill="1" applyBorder="1" applyAlignment="1">
      <alignment horizontal="right"/>
    </xf>
    <xf numFmtId="41" fontId="27" fillId="0" borderId="47" xfId="29" quotePrefix="1" applyFont="1" applyFill="1" applyBorder="1" applyAlignment="1"/>
    <xf numFmtId="165" fontId="27" fillId="0" borderId="25" xfId="41" quotePrefix="1" applyNumberFormat="1" applyFont="1" applyFill="1" applyBorder="1" applyAlignment="1">
      <alignment horizontal="center"/>
    </xf>
    <xf numFmtId="0" fontId="27" fillId="0" borderId="0" xfId="0" quotePrefix="1" applyFont="1" applyFill="1" applyBorder="1" applyAlignment="1">
      <alignment horizontal="center"/>
    </xf>
    <xf numFmtId="15" fontId="29" fillId="0" borderId="59" xfId="48" applyNumberFormat="1" applyFont="1" applyBorder="1" applyAlignment="1">
      <alignment horizontal="left" vertical="center" wrapText="1"/>
    </xf>
    <xf numFmtId="0" fontId="24" fillId="0" borderId="47" xfId="0" applyFont="1" applyBorder="1" applyAlignment="1">
      <alignment horizontal="left"/>
    </xf>
    <xf numFmtId="41" fontId="19" fillId="0" borderId="47" xfId="29" quotePrefix="1" applyFont="1" applyFill="1" applyBorder="1" applyAlignment="1">
      <alignment horizontal="right"/>
    </xf>
    <xf numFmtId="41" fontId="19" fillId="0" borderId="25" xfId="29" quotePrefix="1" applyFont="1" applyFill="1" applyBorder="1" applyAlignment="1">
      <alignment horizontal="right"/>
    </xf>
    <xf numFmtId="0" fontId="27" fillId="0" borderId="23" xfId="0" applyNumberFormat="1" applyFont="1" applyFill="1" applyBorder="1" applyAlignment="1">
      <alignment horizontal="left"/>
    </xf>
    <xf numFmtId="165" fontId="0" fillId="0" borderId="47" xfId="0" applyNumberFormat="1" applyBorder="1" applyAlignment="1" applyProtection="1">
      <alignment horizontal="center" vertical="top" wrapText="1" readingOrder="1"/>
      <protection locked="0"/>
    </xf>
    <xf numFmtId="164" fontId="27" fillId="0" borderId="25" xfId="29" applyNumberFormat="1" applyFont="1" applyFill="1" applyBorder="1" applyAlignment="1">
      <alignment horizontal="right"/>
    </xf>
    <xf numFmtId="164" fontId="27" fillId="0" borderId="25" xfId="29" quotePrefix="1" applyNumberFormat="1" applyFont="1" applyFill="1" applyBorder="1" applyAlignment="1">
      <alignment horizontal="right"/>
    </xf>
    <xf numFmtId="0" fontId="32" fillId="0" borderId="54" xfId="0" quotePrefix="1" applyFont="1" applyBorder="1" applyAlignment="1" applyProtection="1">
      <alignment horizontal="center" vertical="top" wrapText="1" readingOrder="1"/>
      <protection locked="0"/>
    </xf>
    <xf numFmtId="0" fontId="28" fillId="0" borderId="54" xfId="0" applyNumberFormat="1" applyFont="1" applyFill="1" applyBorder="1" applyAlignment="1">
      <alignment horizontal="center"/>
    </xf>
    <xf numFmtId="0" fontId="30" fillId="0" borderId="60" xfId="0" applyFont="1" applyBorder="1" applyAlignment="1" applyProtection="1">
      <alignment horizontal="center" vertical="top" wrapText="1" readingOrder="1"/>
      <protection locked="0"/>
    </xf>
    <xf numFmtId="0" fontId="30" fillId="0" borderId="23" xfId="0" applyFont="1" applyBorder="1" applyAlignment="1" applyProtection="1">
      <alignment horizontal="center" vertical="top" wrapText="1" readingOrder="1"/>
      <protection locked="0"/>
    </xf>
    <xf numFmtId="165" fontId="30" fillId="0" borderId="23" xfId="0" applyNumberFormat="1" applyFont="1" applyBorder="1" applyAlignment="1" applyProtection="1">
      <alignment horizontal="center" vertical="top" wrapText="1" readingOrder="1"/>
      <protection locked="0"/>
    </xf>
    <xf numFmtId="165" fontId="30" fillId="0" borderId="46" xfId="0" applyNumberFormat="1" applyFont="1" applyBorder="1" applyAlignment="1" applyProtection="1">
      <alignment horizontal="center" vertical="top" wrapText="1" readingOrder="1"/>
      <protection locked="0"/>
    </xf>
    <xf numFmtId="0" fontId="27" fillId="0" borderId="49" xfId="0" applyNumberFormat="1" applyFont="1" applyFill="1" applyBorder="1" applyAlignment="1">
      <alignment horizontal="left"/>
    </xf>
    <xf numFmtId="0" fontId="27" fillId="0" borderId="54" xfId="0" applyFont="1" applyBorder="1"/>
    <xf numFmtId="15" fontId="27" fillId="0" borderId="54" xfId="0" applyNumberFormat="1" applyFont="1" applyFill="1" applyBorder="1" applyAlignment="1">
      <alignment horizontal="center"/>
    </xf>
    <xf numFmtId="0" fontId="27" fillId="0" borderId="49" xfId="0" applyFont="1" applyFill="1" applyBorder="1" applyAlignment="1">
      <alignment horizontal="center"/>
    </xf>
    <xf numFmtId="0" fontId="27" fillId="0" borderId="54" xfId="0" applyFont="1" applyFill="1" applyBorder="1"/>
    <xf numFmtId="165" fontId="31" fillId="0" borderId="23" xfId="0" applyNumberFormat="1" applyFont="1" applyFill="1" applyBorder="1" applyAlignment="1">
      <alignment horizontal="center"/>
    </xf>
    <xf numFmtId="0" fontId="30" fillId="0" borderId="46" xfId="0" applyFont="1" applyBorder="1" applyAlignment="1" applyProtection="1">
      <alignment horizontal="center" vertical="top" wrapText="1" readingOrder="1"/>
      <protection locked="0"/>
    </xf>
    <xf numFmtId="0" fontId="32" fillId="0" borderId="49" xfId="0" applyFont="1" applyBorder="1" applyAlignment="1" applyProtection="1">
      <alignment horizontal="center" vertical="top" wrapText="1" readingOrder="1"/>
      <protection locked="0"/>
    </xf>
    <xf numFmtId="0" fontId="32" fillId="0" borderId="47" xfId="0" applyFont="1" applyBorder="1" applyAlignment="1" applyProtection="1">
      <alignment horizontal="center" vertical="top" wrapText="1" readingOrder="1"/>
      <protection locked="0"/>
    </xf>
    <xf numFmtId="0" fontId="32" fillId="0" borderId="60" xfId="0" applyFont="1" applyBorder="1" applyAlignment="1" applyProtection="1">
      <alignment horizontal="center" vertical="top" wrapText="1" readingOrder="1"/>
      <protection locked="0"/>
    </xf>
    <xf numFmtId="0" fontId="32" fillId="0" borderId="23" xfId="0" applyFont="1" applyBorder="1" applyAlignment="1" applyProtection="1">
      <alignment horizontal="center" vertical="top" wrapText="1" readingOrder="1"/>
      <protection locked="0"/>
    </xf>
    <xf numFmtId="0" fontId="32" fillId="0" borderId="46" xfId="0" quotePrefix="1" applyFont="1" applyBorder="1" applyAlignment="1" applyProtection="1">
      <alignment horizontal="center" vertical="top" wrapText="1" readingOrder="1"/>
      <protection locked="0"/>
    </xf>
    <xf numFmtId="165" fontId="32" fillId="0" borderId="47" xfId="0" applyNumberFormat="1" applyFont="1" applyBorder="1" applyAlignment="1" applyProtection="1">
      <alignment horizontal="center" vertical="top" wrapText="1" readingOrder="1"/>
      <protection locked="0"/>
    </xf>
    <xf numFmtId="41" fontId="28" fillId="0" borderId="48" xfId="29" quotePrefix="1" applyFont="1" applyFill="1" applyBorder="1" applyAlignment="1"/>
    <xf numFmtId="0" fontId="27" fillId="0" borderId="55" xfId="0" applyNumberFormat="1" applyFont="1" applyFill="1" applyBorder="1" applyAlignment="1">
      <alignment horizontal="center"/>
    </xf>
    <xf numFmtId="0" fontId="27" fillId="0" borderId="55" xfId="0" applyFont="1" applyBorder="1"/>
    <xf numFmtId="15" fontId="27" fillId="0" borderId="55" xfId="0" applyNumberFormat="1" applyFont="1" applyFill="1" applyBorder="1" applyAlignment="1">
      <alignment horizontal="center"/>
    </xf>
    <xf numFmtId="165" fontId="27" fillId="0" borderId="49" xfId="41" applyNumberFormat="1" applyFont="1" applyFill="1" applyBorder="1" applyAlignment="1">
      <alignment horizontal="center"/>
    </xf>
    <xf numFmtId="165" fontId="27" fillId="0" borderId="55" xfId="41" applyNumberFormat="1" applyFont="1" applyFill="1" applyBorder="1" applyAlignment="1">
      <alignment horizontal="center"/>
    </xf>
    <xf numFmtId="165" fontId="27" fillId="0" borderId="49" xfId="0" quotePrefix="1" applyNumberFormat="1" applyFont="1" applyFill="1" applyBorder="1" applyAlignment="1">
      <alignment horizontal="center"/>
    </xf>
    <xf numFmtId="41" fontId="27" fillId="0" borderId="49" xfId="29" quotePrefix="1" applyFont="1" applyFill="1" applyBorder="1" applyAlignment="1"/>
    <xf numFmtId="0" fontId="28" fillId="0" borderId="56" xfId="0" applyNumberFormat="1" applyFont="1" applyFill="1" applyBorder="1" applyAlignment="1">
      <alignment horizontal="center"/>
    </xf>
    <xf numFmtId="0" fontId="27" fillId="0" borderId="56" xfId="0" applyFont="1" applyBorder="1"/>
    <xf numFmtId="15" fontId="27" fillId="0" borderId="56" xfId="0" applyNumberFormat="1" applyFont="1" applyFill="1" applyBorder="1" applyAlignment="1">
      <alignment horizontal="center"/>
    </xf>
    <xf numFmtId="165" fontId="27" fillId="0" borderId="54" xfId="41" applyNumberFormat="1" applyFont="1" applyFill="1" applyBorder="1" applyAlignment="1">
      <alignment horizontal="center"/>
    </xf>
    <xf numFmtId="165" fontId="27" fillId="0" borderId="56" xfId="41" applyNumberFormat="1" applyFont="1" applyFill="1" applyBorder="1" applyAlignment="1">
      <alignment horizontal="center"/>
    </xf>
    <xf numFmtId="165" fontId="27" fillId="0" borderId="54" xfId="0" quotePrefix="1" applyNumberFormat="1" applyFont="1" applyFill="1" applyBorder="1" applyAlignment="1">
      <alignment horizontal="center"/>
    </xf>
    <xf numFmtId="41" fontId="27" fillId="0" borderId="54" xfId="29" quotePrefix="1" applyFont="1" applyFill="1" applyBorder="1" applyAlignment="1"/>
    <xf numFmtId="0" fontId="24" fillId="0" borderId="48" xfId="0" applyFont="1" applyBorder="1"/>
    <xf numFmtId="165" fontId="20" fillId="0" borderId="48" xfId="41" applyNumberFormat="1" applyFont="1" applyFill="1" applyBorder="1" applyAlignment="1">
      <alignment horizontal="center"/>
    </xf>
    <xf numFmtId="165" fontId="20" fillId="0" borderId="48" xfId="0" applyNumberFormat="1" applyFont="1" applyFill="1" applyBorder="1" applyAlignment="1">
      <alignment horizontal="center"/>
    </xf>
    <xf numFmtId="41" fontId="20" fillId="0" borderId="48" xfId="29" quotePrefix="1" applyFont="1" applyFill="1" applyBorder="1" applyAlignment="1">
      <alignment horizontal="left"/>
    </xf>
    <xf numFmtId="164" fontId="20" fillId="0" borderId="48" xfId="29" applyNumberFormat="1" applyFont="1" applyFill="1" applyBorder="1" applyAlignment="1">
      <alignment horizontal="right"/>
    </xf>
    <xf numFmtId="41" fontId="20" fillId="0" borderId="57" xfId="29" quotePrefix="1" applyFont="1" applyFill="1" applyBorder="1" applyAlignment="1">
      <alignment horizontal="right"/>
    </xf>
    <xf numFmtId="3" fontId="27" fillId="0" borderId="55" xfId="0" applyNumberFormat="1" applyFont="1" applyFill="1" applyBorder="1" applyAlignment="1">
      <alignment horizontal="right"/>
    </xf>
    <xf numFmtId="3" fontId="27" fillId="0" borderId="49" xfId="0" applyNumberFormat="1" applyFont="1" applyFill="1" applyBorder="1" applyAlignment="1">
      <alignment horizontal="right"/>
    </xf>
    <xf numFmtId="3" fontId="20" fillId="0" borderId="25" xfId="0" applyNumberFormat="1" applyFont="1" applyBorder="1" applyAlignment="1" applyProtection="1">
      <alignment horizontal="right" vertical="top" wrapText="1"/>
      <protection locked="0"/>
    </xf>
    <xf numFmtId="3" fontId="33" fillId="0" borderId="47" xfId="0" applyNumberFormat="1" applyFont="1" applyBorder="1" applyAlignment="1" applyProtection="1">
      <alignment horizontal="right" vertical="top" wrapText="1"/>
      <protection locked="0"/>
    </xf>
    <xf numFmtId="3" fontId="20" fillId="0" borderId="56" xfId="0" applyNumberFormat="1" applyFont="1" applyBorder="1" applyAlignment="1" applyProtection="1">
      <alignment horizontal="right" vertical="top" wrapText="1"/>
      <protection locked="0"/>
    </xf>
    <xf numFmtId="0" fontId="33" fillId="0" borderId="54" xfId="0" quotePrefix="1" applyFont="1" applyBorder="1" applyAlignment="1" applyProtection="1">
      <alignment horizontal="right" vertical="top" wrapText="1"/>
      <protection locked="0"/>
    </xf>
    <xf numFmtId="0" fontId="28" fillId="0" borderId="25" xfId="0" applyNumberFormat="1" applyFont="1" applyFill="1" applyBorder="1" applyAlignment="1">
      <alignment horizontal="center"/>
    </xf>
    <xf numFmtId="0" fontId="28" fillId="0" borderId="25" xfId="0" applyNumberFormat="1" applyFont="1" applyFill="1" applyBorder="1" applyAlignment="1">
      <alignment horizontal="center"/>
    </xf>
    <xf numFmtId="165" fontId="27" fillId="0" borderId="54" xfId="0" applyNumberFormat="1" applyFont="1" applyFill="1" applyBorder="1" applyAlignment="1">
      <alignment horizontal="center"/>
    </xf>
    <xf numFmtId="0" fontId="28" fillId="0" borderId="25" xfId="0" applyNumberFormat="1" applyFont="1" applyFill="1" applyBorder="1" applyAlignment="1">
      <alignment horizontal="center"/>
    </xf>
    <xf numFmtId="41" fontId="28" fillId="0" borderId="61" xfId="29" quotePrefix="1" applyFont="1" applyFill="1" applyBorder="1" applyAlignment="1"/>
    <xf numFmtId="165" fontId="33" fillId="0" borderId="60" xfId="0" applyNumberFormat="1" applyFont="1" applyBorder="1" applyAlignment="1" applyProtection="1">
      <alignment horizontal="center" vertical="top" wrapText="1" readingOrder="1"/>
      <protection locked="0"/>
    </xf>
    <xf numFmtId="165" fontId="33" fillId="0" borderId="49" xfId="0" applyNumberFormat="1" applyFont="1" applyBorder="1" applyAlignment="1" applyProtection="1">
      <alignment horizontal="center" vertical="top" wrapText="1" readingOrder="1"/>
      <protection locked="0"/>
    </xf>
    <xf numFmtId="165" fontId="33" fillId="0" borderId="23" xfId="0" applyNumberFormat="1" applyFont="1" applyBorder="1" applyAlignment="1" applyProtection="1">
      <alignment horizontal="center" vertical="top" wrapText="1" readingOrder="1"/>
      <protection locked="0"/>
    </xf>
    <xf numFmtId="165" fontId="33" fillId="0" borderId="47" xfId="0" applyNumberFormat="1" applyFont="1" applyBorder="1" applyAlignment="1" applyProtection="1">
      <alignment horizontal="center" vertical="top" wrapText="1" readingOrder="1"/>
      <protection locked="0"/>
    </xf>
    <xf numFmtId="165" fontId="27" fillId="0" borderId="23" xfId="0" applyNumberFormat="1" applyFont="1" applyFill="1" applyBorder="1" applyAlignment="1">
      <alignment horizontal="center"/>
    </xf>
    <xf numFmtId="165" fontId="20" fillId="0" borderId="47" xfId="0" applyNumberFormat="1" applyFont="1" applyBorder="1" applyAlignment="1" applyProtection="1">
      <alignment horizontal="center" vertical="top" wrapText="1" readingOrder="1"/>
      <protection locked="0"/>
    </xf>
    <xf numFmtId="165" fontId="33" fillId="0" borderId="46" xfId="0" applyNumberFormat="1" applyFont="1" applyBorder="1" applyAlignment="1" applyProtection="1">
      <alignment horizontal="center" vertical="top" wrapText="1" readingOrder="1"/>
      <protection locked="0"/>
    </xf>
    <xf numFmtId="165" fontId="33" fillId="0" borderId="46" xfId="0" quotePrefix="1" applyNumberFormat="1" applyFont="1" applyBorder="1" applyAlignment="1" applyProtection="1">
      <alignment horizontal="center" vertical="top" wrapText="1" readingOrder="1"/>
      <protection locked="0"/>
    </xf>
    <xf numFmtId="10" fontId="33" fillId="0" borderId="54" xfId="0" quotePrefix="1" applyNumberFormat="1" applyFont="1" applyBorder="1" applyAlignment="1" applyProtection="1">
      <alignment horizontal="center" vertical="top" wrapText="1" readingOrder="1"/>
      <protection locked="0"/>
    </xf>
    <xf numFmtId="0" fontId="28" fillId="0" borderId="25" xfId="0" applyNumberFormat="1" applyFont="1" applyFill="1" applyBorder="1" applyAlignment="1">
      <alignment horizontal="center"/>
    </xf>
    <xf numFmtId="0" fontId="28" fillId="0" borderId="25" xfId="0" applyNumberFormat="1" applyFont="1" applyFill="1" applyBorder="1" applyAlignment="1">
      <alignment horizontal="center"/>
    </xf>
    <xf numFmtId="165" fontId="33" fillId="0" borderId="54" xfId="0" quotePrefix="1" applyNumberFormat="1" applyFont="1" applyBorder="1" applyAlignment="1" applyProtection="1">
      <alignment horizontal="center" vertical="top" wrapText="1" readingOrder="1"/>
      <protection locked="0"/>
    </xf>
    <xf numFmtId="0" fontId="28" fillId="0" borderId="25" xfId="0" applyNumberFormat="1" applyFont="1" applyFill="1" applyBorder="1" applyAlignment="1">
      <alignment horizontal="center"/>
    </xf>
    <xf numFmtId="165" fontId="20" fillId="0" borderId="47" xfId="0" quotePrefix="1" applyNumberFormat="1" applyFont="1" applyBorder="1" applyAlignment="1" applyProtection="1">
      <alignment horizontal="center" vertical="top" wrapText="1" readingOrder="1"/>
      <protection locked="0"/>
    </xf>
    <xf numFmtId="3" fontId="33" fillId="0" borderId="47" xfId="0" quotePrefix="1" applyNumberFormat="1" applyFont="1" applyBorder="1" applyAlignment="1" applyProtection="1">
      <alignment horizontal="right" vertical="top" wrapText="1"/>
      <protection locked="0"/>
    </xf>
    <xf numFmtId="41" fontId="28" fillId="0" borderId="22" xfId="29" quotePrefix="1" applyFont="1" applyFill="1" applyBorder="1" applyAlignment="1"/>
    <xf numFmtId="0" fontId="28" fillId="0" borderId="25" xfId="0" applyNumberFormat="1" applyFont="1" applyFill="1" applyBorder="1" applyAlignment="1">
      <alignment horizontal="center"/>
    </xf>
    <xf numFmtId="15" fontId="34" fillId="0" borderId="49" xfId="0" applyNumberFormat="1" applyFont="1" applyFill="1" applyBorder="1" applyAlignment="1">
      <alignment horizontal="center"/>
    </xf>
    <xf numFmtId="0" fontId="34" fillId="0" borderId="49" xfId="0" applyNumberFormat="1" applyFont="1" applyFill="1" applyBorder="1" applyAlignment="1">
      <alignment horizontal="center"/>
    </xf>
    <xf numFmtId="0" fontId="34" fillId="0" borderId="49" xfId="0" applyNumberFormat="1" applyFont="1" applyFill="1" applyBorder="1" applyAlignment="1">
      <alignment horizontal="left"/>
    </xf>
    <xf numFmtId="15" fontId="35" fillId="0" borderId="49" xfId="0" applyNumberFormat="1" applyFont="1" applyFill="1" applyBorder="1" applyAlignment="1">
      <alignment horizontal="center"/>
    </xf>
    <xf numFmtId="0" fontId="34" fillId="0" borderId="49" xfId="0" applyFont="1" applyFill="1" applyBorder="1" applyAlignment="1">
      <alignment horizontal="center"/>
    </xf>
    <xf numFmtId="165" fontId="36" fillId="0" borderId="60" xfId="0" applyNumberFormat="1" applyFont="1" applyBorder="1" applyAlignment="1" applyProtection="1">
      <alignment horizontal="center" vertical="top" wrapText="1" readingOrder="1"/>
      <protection locked="0"/>
    </xf>
    <xf numFmtId="165" fontId="36" fillId="0" borderId="49" xfId="0" applyNumberFormat="1" applyFont="1" applyBorder="1" applyAlignment="1" applyProtection="1">
      <alignment horizontal="center" vertical="top" wrapText="1" readingOrder="1"/>
      <protection locked="0"/>
    </xf>
    <xf numFmtId="3" fontId="34" fillId="0" borderId="55" xfId="0" applyNumberFormat="1" applyFont="1" applyFill="1" applyBorder="1" applyAlignment="1">
      <alignment horizontal="right"/>
    </xf>
    <xf numFmtId="3" fontId="34" fillId="0" borderId="49" xfId="0" applyNumberFormat="1" applyFont="1" applyFill="1" applyBorder="1" applyAlignment="1">
      <alignment horizontal="right"/>
    </xf>
    <xf numFmtId="164" fontId="34" fillId="0" borderId="25" xfId="29" applyNumberFormat="1" applyFont="1" applyFill="1" applyBorder="1" applyAlignment="1" applyProtection="1">
      <alignment horizontal="right"/>
    </xf>
    <xf numFmtId="0" fontId="34" fillId="0" borderId="0" xfId="0" applyFont="1" applyFill="1" applyBorder="1" applyAlignment="1"/>
    <xf numFmtId="0" fontId="37" fillId="0" borderId="47" xfId="0" applyNumberFormat="1" applyFont="1" applyFill="1" applyBorder="1" applyAlignment="1">
      <alignment horizontal="center"/>
    </xf>
    <xf numFmtId="0" fontId="34" fillId="0" borderId="47" xfId="0" applyFont="1" applyBorder="1" applyAlignment="1"/>
    <xf numFmtId="15" fontId="35" fillId="0" borderId="47" xfId="0" applyNumberFormat="1" applyFont="1" applyFill="1" applyBorder="1" applyAlignment="1">
      <alignment horizontal="center"/>
    </xf>
    <xf numFmtId="165" fontId="35" fillId="0" borderId="47" xfId="41" applyNumberFormat="1" applyFont="1" applyFill="1" applyBorder="1" applyAlignment="1" applyProtection="1">
      <alignment horizontal="center"/>
    </xf>
    <xf numFmtId="165" fontId="36" fillId="0" borderId="23" xfId="0" applyNumberFormat="1" applyFont="1" applyBorder="1" applyAlignment="1" applyProtection="1">
      <alignment horizontal="center" vertical="top" wrapText="1" readingOrder="1"/>
      <protection locked="0"/>
    </xf>
    <xf numFmtId="165" fontId="36" fillId="0" borderId="47" xfId="0" applyNumberFormat="1" applyFont="1" applyBorder="1" applyAlignment="1" applyProtection="1">
      <alignment horizontal="center" vertical="top" wrapText="1" readingOrder="1"/>
      <protection locked="0"/>
    </xf>
    <xf numFmtId="3" fontId="35" fillId="0" borderId="25" xfId="0" applyNumberFormat="1" applyFont="1" applyBorder="1" applyAlignment="1" applyProtection="1">
      <alignment horizontal="right" vertical="top" wrapText="1"/>
      <protection locked="0"/>
    </xf>
    <xf numFmtId="3" fontId="36" fillId="0" borderId="47" xfId="0" applyNumberFormat="1" applyFont="1" applyBorder="1" applyAlignment="1" applyProtection="1">
      <alignment horizontal="right" vertical="top" wrapText="1"/>
      <protection locked="0"/>
    </xf>
    <xf numFmtId="165" fontId="34" fillId="0" borderId="23" xfId="0" applyNumberFormat="1" applyFont="1" applyFill="1" applyBorder="1" applyAlignment="1">
      <alignment horizontal="center"/>
    </xf>
    <xf numFmtId="165" fontId="34" fillId="0" borderId="47" xfId="41" applyNumberFormat="1" applyFont="1" applyFill="1" applyBorder="1" applyAlignment="1" applyProtection="1">
      <alignment horizontal="center"/>
    </xf>
    <xf numFmtId="165" fontId="35" fillId="0" borderId="47" xfId="0" applyNumberFormat="1" applyFont="1" applyBorder="1" applyAlignment="1" applyProtection="1">
      <alignment horizontal="center" vertical="top" wrapText="1" readingOrder="1"/>
      <protection locked="0"/>
    </xf>
    <xf numFmtId="0" fontId="37" fillId="0" borderId="54" xfId="0" applyNumberFormat="1" applyFont="1" applyFill="1" applyBorder="1" applyAlignment="1">
      <alignment horizontal="center"/>
    </xf>
    <xf numFmtId="0" fontId="34" fillId="0" borderId="54" xfId="0" applyFont="1" applyBorder="1" applyAlignment="1"/>
    <xf numFmtId="15" fontId="34" fillId="0" borderId="54" xfId="0" applyNumberFormat="1" applyFont="1" applyFill="1" applyBorder="1" applyAlignment="1">
      <alignment horizontal="center"/>
    </xf>
    <xf numFmtId="165" fontId="34" fillId="0" borderId="54" xfId="0" applyNumberFormat="1" applyFont="1" applyFill="1" applyBorder="1" applyAlignment="1">
      <alignment horizontal="center"/>
    </xf>
    <xf numFmtId="165" fontId="36" fillId="0" borderId="46" xfId="0" applyNumberFormat="1" applyFont="1" applyBorder="1" applyAlignment="1" applyProtection="1">
      <alignment horizontal="center" vertical="top" wrapText="1" readingOrder="1"/>
      <protection locked="0"/>
    </xf>
    <xf numFmtId="165" fontId="36" fillId="0" borderId="54" xfId="0" applyNumberFormat="1" applyFont="1" applyBorder="1" applyAlignment="1" applyProtection="1">
      <alignment horizontal="center" vertical="top" wrapText="1" readingOrder="1"/>
      <protection locked="0"/>
    </xf>
    <xf numFmtId="3" fontId="35" fillId="0" borderId="56" xfId="0" applyNumberFormat="1" applyFont="1" applyBorder="1" applyAlignment="1" applyProtection="1">
      <alignment horizontal="right" vertical="top" wrapText="1"/>
      <protection locked="0"/>
    </xf>
    <xf numFmtId="41" fontId="37" fillId="0" borderId="22" xfId="29" applyFont="1" applyFill="1" applyBorder="1" applyAlignment="1" applyProtection="1"/>
    <xf numFmtId="0" fontId="28" fillId="0" borderId="25" xfId="0" applyNumberFormat="1" applyFont="1" applyFill="1" applyBorder="1" applyAlignment="1">
      <alignment horizontal="center"/>
    </xf>
    <xf numFmtId="0" fontId="28" fillId="0" borderId="25" xfId="0" applyNumberFormat="1" applyFont="1" applyFill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4" fillId="0" borderId="47" xfId="0" applyFont="1" applyBorder="1" applyAlignment="1"/>
    <xf numFmtId="165" fontId="33" fillId="0" borderId="23" xfId="0" quotePrefix="1" applyNumberFormat="1" applyFont="1" applyBorder="1" applyAlignment="1" applyProtection="1">
      <alignment horizontal="center" vertical="top" wrapText="1" readingOrder="1"/>
      <protection locked="0"/>
    </xf>
    <xf numFmtId="165" fontId="33" fillId="0" borderId="47" xfId="0" quotePrefix="1" applyNumberFormat="1" applyFont="1" applyBorder="1" applyAlignment="1" applyProtection="1">
      <alignment horizontal="center" vertical="top" wrapText="1" readingOrder="1"/>
      <protection locked="0"/>
    </xf>
    <xf numFmtId="3" fontId="19" fillId="0" borderId="22" xfId="0" applyNumberFormat="1" applyFont="1" applyBorder="1" applyAlignment="1"/>
    <xf numFmtId="0" fontId="24" fillId="0" borderId="49" xfId="0" applyNumberFormat="1" applyFont="1" applyFill="1" applyBorder="1" applyAlignment="1">
      <alignment horizontal="center"/>
    </xf>
    <xf numFmtId="165" fontId="24" fillId="0" borderId="23" xfId="0" quotePrefix="1" applyNumberFormat="1" applyFont="1" applyFill="1" applyBorder="1" applyAlignment="1">
      <alignment horizontal="center"/>
    </xf>
    <xf numFmtId="3" fontId="20" fillId="0" borderId="25" xfId="0" quotePrefix="1" applyNumberFormat="1" applyFont="1" applyBorder="1" applyAlignment="1" applyProtection="1">
      <alignment horizontal="right" vertical="top" wrapText="1"/>
      <protection locked="0"/>
    </xf>
    <xf numFmtId="164" fontId="24" fillId="0" borderId="25" xfId="29" quotePrefix="1" applyNumberFormat="1" applyFont="1" applyFill="1" applyBorder="1" applyAlignment="1" applyProtection="1">
      <alignment horizontal="right"/>
    </xf>
    <xf numFmtId="3" fontId="19" fillId="0" borderId="22" xfId="0" applyNumberFormat="1" applyFont="1" applyBorder="1" applyAlignment="1">
      <alignment horizontal="right"/>
    </xf>
    <xf numFmtId="41" fontId="19" fillId="0" borderId="22" xfId="29" applyFont="1" applyBorder="1" applyAlignment="1">
      <alignment horizontal="right"/>
    </xf>
    <xf numFmtId="0" fontId="28" fillId="0" borderId="25" xfId="0" applyNumberFormat="1" applyFont="1" applyFill="1" applyBorder="1" applyAlignment="1">
      <alignment horizontal="center"/>
    </xf>
    <xf numFmtId="0" fontId="28" fillId="0" borderId="25" xfId="0" applyNumberFormat="1" applyFont="1" applyFill="1" applyBorder="1" applyAlignment="1">
      <alignment horizontal="center"/>
    </xf>
    <xf numFmtId="3" fontId="27" fillId="0" borderId="49" xfId="0" applyNumberFormat="1" applyFont="1" applyFill="1" applyBorder="1"/>
    <xf numFmtId="3" fontId="27" fillId="0" borderId="47" xfId="0" applyNumberFormat="1" applyFont="1" applyFill="1" applyBorder="1"/>
    <xf numFmtId="3" fontId="27" fillId="0" borderId="54" xfId="0" applyNumberFormat="1" applyFont="1" applyFill="1" applyBorder="1"/>
    <xf numFmtId="0" fontId="28" fillId="0" borderId="25" xfId="0" applyNumberFormat="1" applyFont="1" applyFill="1" applyBorder="1" applyAlignment="1">
      <alignment horizontal="center"/>
    </xf>
    <xf numFmtId="0" fontId="28" fillId="0" borderId="25" xfId="0" applyNumberFormat="1" applyFont="1" applyFill="1" applyBorder="1" applyAlignment="1">
      <alignment horizontal="center"/>
    </xf>
    <xf numFmtId="41" fontId="19" fillId="0" borderId="22" xfId="29" quotePrefix="1" applyFont="1" applyFill="1" applyBorder="1" applyAlignment="1"/>
    <xf numFmtId="164" fontId="20" fillId="0" borderId="22" xfId="29" applyNumberFormat="1" applyFont="1" applyFill="1" applyBorder="1" applyAlignment="1">
      <alignment horizontal="center"/>
    </xf>
    <xf numFmtId="0" fontId="28" fillId="0" borderId="25" xfId="0" applyNumberFormat="1" applyFont="1" applyFill="1" applyBorder="1" applyAlignment="1">
      <alignment horizontal="center"/>
    </xf>
    <xf numFmtId="0" fontId="28" fillId="0" borderId="25" xfId="0" applyNumberFormat="1" applyFont="1" applyFill="1" applyBorder="1" applyAlignment="1">
      <alignment horizontal="center"/>
    </xf>
    <xf numFmtId="165" fontId="36" fillId="0" borderId="60" xfId="0" quotePrefix="1" applyNumberFormat="1" applyFont="1" applyBorder="1" applyAlignment="1" applyProtection="1">
      <alignment horizontal="center" vertical="top" wrapText="1" readingOrder="1"/>
      <protection locked="0"/>
    </xf>
    <xf numFmtId="165" fontId="36" fillId="0" borderId="23" xfId="0" quotePrefix="1" applyNumberFormat="1" applyFont="1" applyBorder="1" applyAlignment="1" applyProtection="1">
      <alignment horizontal="center" vertical="top" wrapText="1" readingOrder="1"/>
      <protection locked="0"/>
    </xf>
    <xf numFmtId="165" fontId="36" fillId="0" borderId="49" xfId="0" quotePrefix="1" applyNumberFormat="1" applyFont="1" applyBorder="1" applyAlignment="1" applyProtection="1">
      <alignment horizontal="center" vertical="top" wrapText="1" readingOrder="1"/>
      <protection locked="0"/>
    </xf>
    <xf numFmtId="165" fontId="36" fillId="0" borderId="47" xfId="0" quotePrefix="1" applyNumberFormat="1" applyFont="1" applyBorder="1" applyAlignment="1" applyProtection="1">
      <alignment horizontal="center" vertical="top" wrapText="1" readingOrder="1"/>
      <protection locked="0"/>
    </xf>
    <xf numFmtId="3" fontId="34" fillId="0" borderId="55" xfId="0" quotePrefix="1" applyNumberFormat="1" applyFont="1" applyFill="1" applyBorder="1" applyAlignment="1">
      <alignment horizontal="right"/>
    </xf>
    <xf numFmtId="3" fontId="35" fillId="0" borderId="25" xfId="0" quotePrefix="1" applyNumberFormat="1" applyFont="1" applyBorder="1" applyAlignment="1" applyProtection="1">
      <alignment horizontal="right" vertical="top" wrapText="1"/>
      <protection locked="0"/>
    </xf>
    <xf numFmtId="0" fontId="28" fillId="0" borderId="25" xfId="0" applyNumberFormat="1" applyFont="1" applyFill="1" applyBorder="1" applyAlignment="1">
      <alignment horizontal="center"/>
    </xf>
    <xf numFmtId="0" fontId="28" fillId="0" borderId="25" xfId="0" applyNumberFormat="1" applyFont="1" applyFill="1" applyBorder="1" applyAlignment="1">
      <alignment horizontal="center"/>
    </xf>
    <xf numFmtId="165" fontId="27" fillId="0" borderId="47" xfId="41" applyNumberFormat="1" applyFont="1" applyFill="1" applyBorder="1" applyAlignment="1">
      <alignment horizontal="center" vertical="center" wrapText="1"/>
    </xf>
    <xf numFmtId="0" fontId="28" fillId="0" borderId="25" xfId="0" applyNumberFormat="1" applyFont="1" applyFill="1" applyBorder="1" applyAlignment="1">
      <alignment horizontal="center"/>
    </xf>
    <xf numFmtId="167" fontId="20" fillId="0" borderId="27" xfId="0" applyNumberFormat="1" applyFont="1" applyFill="1" applyBorder="1" applyAlignment="1">
      <alignment horizontal="center" vertical="center" wrapText="1"/>
    </xf>
    <xf numFmtId="167" fontId="20" fillId="0" borderId="23" xfId="0" applyNumberFormat="1" applyFont="1" applyFill="1" applyBorder="1" applyAlignment="1">
      <alignment horizontal="center" vertical="center" wrapText="1"/>
    </xf>
    <xf numFmtId="167" fontId="20" fillId="0" borderId="26" xfId="0" applyNumberFormat="1" applyFont="1" applyFill="1" applyBorder="1" applyAlignment="1">
      <alignment horizontal="center" vertical="center" wrapText="1"/>
    </xf>
    <xf numFmtId="167" fontId="20" fillId="0" borderId="15" xfId="0" applyNumberFormat="1" applyFont="1" applyFill="1" applyBorder="1" applyAlignment="1">
      <alignment horizontal="center" vertical="center" wrapText="1"/>
    </xf>
    <xf numFmtId="0" fontId="20" fillId="0" borderId="24" xfId="0" applyFont="1" applyBorder="1" applyAlignment="1">
      <alignment horizontal="left"/>
    </xf>
    <xf numFmtId="0" fontId="20" fillId="0" borderId="45" xfId="0" applyFont="1" applyBorder="1" applyAlignment="1">
      <alignment horizontal="left"/>
    </xf>
    <xf numFmtId="16" fontId="19" fillId="0" borderId="24" xfId="0" applyNumberFormat="1" applyFont="1" applyBorder="1" applyAlignment="1">
      <alignment horizontal="center"/>
    </xf>
    <xf numFmtId="16" fontId="19" fillId="0" borderId="20" xfId="0" applyNumberFormat="1" applyFont="1" applyBorder="1" applyAlignment="1">
      <alignment horizontal="center"/>
    </xf>
    <xf numFmtId="16" fontId="19" fillId="0" borderId="45" xfId="0" applyNumberFormat="1" applyFont="1" applyBorder="1" applyAlignment="1">
      <alignment horizontal="center"/>
    </xf>
    <xf numFmtId="0" fontId="19" fillId="0" borderId="24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9" fillId="0" borderId="45" xfId="0" applyFont="1" applyBorder="1" applyAlignment="1">
      <alignment horizontal="center"/>
    </xf>
    <xf numFmtId="0" fontId="28" fillId="0" borderId="24" xfId="0" applyNumberFormat="1" applyFont="1" applyFill="1" applyBorder="1" applyAlignment="1">
      <alignment horizontal="center"/>
    </xf>
    <xf numFmtId="0" fontId="28" fillId="0" borderId="20" xfId="0" applyNumberFormat="1" applyFont="1" applyFill="1" applyBorder="1" applyAlignment="1">
      <alignment horizontal="center"/>
    </xf>
    <xf numFmtId="0" fontId="28" fillId="0" borderId="45" xfId="0" applyNumberFormat="1" applyFont="1" applyFill="1" applyBorder="1" applyAlignment="1">
      <alignment horizontal="center"/>
    </xf>
    <xf numFmtId="0" fontId="19" fillId="0" borderId="50" xfId="0" applyNumberFormat="1" applyFont="1" applyFill="1" applyBorder="1" applyAlignment="1">
      <alignment horizontal="center"/>
    </xf>
    <xf numFmtId="0" fontId="19" fillId="0" borderId="51" xfId="0" applyNumberFormat="1" applyFont="1" applyFill="1" applyBorder="1" applyAlignment="1">
      <alignment horizontal="center"/>
    </xf>
    <xf numFmtId="0" fontId="19" fillId="0" borderId="52" xfId="0" applyNumberFormat="1" applyFont="1" applyFill="1" applyBorder="1" applyAlignment="1">
      <alignment horizontal="center"/>
    </xf>
    <xf numFmtId="0" fontId="19" fillId="0" borderId="23" xfId="0" applyNumberFormat="1" applyFont="1" applyFill="1" applyBorder="1" applyAlignment="1">
      <alignment horizontal="center"/>
    </xf>
    <xf numFmtId="0" fontId="19" fillId="0" borderId="0" xfId="0" applyNumberFormat="1" applyFont="1" applyFill="1" applyBorder="1" applyAlignment="1">
      <alignment horizontal="center"/>
    </xf>
    <xf numFmtId="0" fontId="19" fillId="0" borderId="25" xfId="0" applyNumberFormat="1" applyFont="1" applyFill="1" applyBorder="1" applyAlignment="1">
      <alignment horizontal="center"/>
    </xf>
    <xf numFmtId="0" fontId="28" fillId="0" borderId="50" xfId="0" applyNumberFormat="1" applyFont="1" applyFill="1" applyBorder="1" applyAlignment="1">
      <alignment horizontal="center"/>
    </xf>
    <xf numFmtId="0" fontId="28" fillId="0" borderId="51" xfId="0" applyNumberFormat="1" applyFont="1" applyFill="1" applyBorder="1" applyAlignment="1">
      <alignment horizontal="center"/>
    </xf>
    <xf numFmtId="0" fontId="28" fillId="0" borderId="52" xfId="0" applyNumberFormat="1" applyFont="1" applyFill="1" applyBorder="1" applyAlignment="1">
      <alignment horizontal="center"/>
    </xf>
    <xf numFmtId="0" fontId="19" fillId="0" borderId="24" xfId="0" applyNumberFormat="1" applyFont="1" applyFill="1" applyBorder="1" applyAlignment="1">
      <alignment horizontal="center"/>
    </xf>
    <xf numFmtId="0" fontId="19" fillId="0" borderId="20" xfId="0" applyNumberFormat="1" applyFont="1" applyFill="1" applyBorder="1" applyAlignment="1">
      <alignment horizontal="center"/>
    </xf>
    <xf numFmtId="0" fontId="19" fillId="0" borderId="45" xfId="0" applyNumberFormat="1" applyFont="1" applyFill="1" applyBorder="1" applyAlignment="1">
      <alignment horizontal="center"/>
    </xf>
    <xf numFmtId="16" fontId="19" fillId="0" borderId="22" xfId="0" applyNumberFormat="1" applyFont="1" applyBorder="1" applyAlignment="1">
      <alignment horizontal="center"/>
    </xf>
    <xf numFmtId="0" fontId="28" fillId="0" borderId="27" xfId="0" applyNumberFormat="1" applyFont="1" applyFill="1" applyBorder="1" applyAlignment="1">
      <alignment horizontal="center"/>
    </xf>
    <xf numFmtId="0" fontId="28" fillId="0" borderId="33" xfId="0" applyNumberFormat="1" applyFont="1" applyFill="1" applyBorder="1" applyAlignment="1">
      <alignment horizontal="center"/>
    </xf>
    <xf numFmtId="0" fontId="28" fillId="0" borderId="31" xfId="0" applyNumberFormat="1" applyFont="1" applyFill="1" applyBorder="1" applyAlignment="1">
      <alignment horizontal="center"/>
    </xf>
    <xf numFmtId="0" fontId="28" fillId="0" borderId="23" xfId="0" applyNumberFormat="1" applyFont="1" applyFill="1" applyBorder="1" applyAlignment="1">
      <alignment horizontal="center"/>
    </xf>
    <xf numFmtId="0" fontId="28" fillId="0" borderId="0" xfId="0" applyNumberFormat="1" applyFont="1" applyFill="1" applyBorder="1" applyAlignment="1">
      <alignment horizontal="center"/>
    </xf>
    <xf numFmtId="0" fontId="28" fillId="0" borderId="25" xfId="0" applyNumberFormat="1" applyFont="1" applyFill="1" applyBorder="1" applyAlignment="1">
      <alignment horizontal="center"/>
    </xf>
    <xf numFmtId="0" fontId="28" fillId="0" borderId="46" xfId="0" applyNumberFormat="1" applyFont="1" applyFill="1" applyBorder="1" applyAlignment="1">
      <alignment horizontal="center"/>
    </xf>
    <xf numFmtId="0" fontId="28" fillId="0" borderId="35" xfId="0" applyNumberFormat="1" applyFont="1" applyFill="1" applyBorder="1" applyAlignment="1">
      <alignment horizontal="center"/>
    </xf>
    <xf numFmtId="0" fontId="28" fillId="0" borderId="56" xfId="0" applyNumberFormat="1" applyFont="1" applyFill="1" applyBorder="1" applyAlignment="1">
      <alignment horizontal="center"/>
    </xf>
    <xf numFmtId="0" fontId="20" fillId="0" borderId="35" xfId="0" applyFont="1" applyBorder="1" applyAlignment="1">
      <alignment horizontal="right"/>
    </xf>
    <xf numFmtId="0" fontId="19" fillId="0" borderId="27" xfId="0" applyNumberFormat="1" applyFont="1" applyFill="1" applyBorder="1" applyAlignment="1">
      <alignment horizontal="center"/>
    </xf>
    <xf numFmtId="0" fontId="19" fillId="0" borderId="33" xfId="0" applyNumberFormat="1" applyFont="1" applyFill="1" applyBorder="1" applyAlignment="1">
      <alignment horizontal="center"/>
    </xf>
    <xf numFmtId="165" fontId="27" fillId="0" borderId="49" xfId="41" applyNumberFormat="1" applyFont="1" applyFill="1" applyBorder="1" applyAlignment="1">
      <alignment horizontal="center" vertical="center" wrapText="1"/>
    </xf>
    <xf numFmtId="165" fontId="27" fillId="0" borderId="47" xfId="41" applyNumberFormat="1" applyFont="1" applyFill="1" applyBorder="1" applyAlignment="1">
      <alignment horizontal="center" vertical="center" wrapText="1"/>
    </xf>
    <xf numFmtId="165" fontId="27" fillId="0" borderId="57" xfId="41" applyNumberFormat="1" applyFont="1" applyFill="1" applyBorder="1" applyAlignment="1">
      <alignment horizontal="center" vertical="center" wrapText="1"/>
    </xf>
    <xf numFmtId="0" fontId="37" fillId="0" borderId="54" xfId="0" applyNumberFormat="1" applyFont="1" applyFill="1" applyBorder="1" applyAlignment="1">
      <alignment horizontal="center" vertical="center"/>
    </xf>
    <xf numFmtId="165" fontId="27" fillId="0" borderId="47" xfId="0" applyNumberFormat="1" applyFont="1" applyFill="1" applyBorder="1" applyAlignment="1">
      <alignment horizontal="center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" xfId="29" builtinId="6"/>
    <cellStyle name="Comma [0] 2" xfId="45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46"/>
    <cellStyle name="Normal 2 2" xfId="47"/>
    <cellStyle name="Normal 4" xfId="48"/>
    <cellStyle name="Note" xfId="39" builtinId="10" customBuiltin="1"/>
    <cellStyle name="Output" xfId="40" builtinId="21" customBuiltin="1"/>
    <cellStyle name="Percent" xfId="41" builtinId="5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9" defaultPivotStyle="PivotStyleLight16"/>
  <colors>
    <mruColors>
      <color rgb="FF660066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on22c2\1bonds_job\debtproject\Apr03\Cash_Balance_update_6Feb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on22c2\1bonds_job\Documents%20and%20Settings\Administrator\My%20Documents\Yield%20Curve%20Bulanan%20Januari-Jul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on22c2\RATING-AGENC\Documents%20and%20Settings\Administrator\My%20Documents\Yield%20Curve%20Bulanan%20Januari-Jul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L_1b"/>
      <sheetName val="CFL_1c"/>
      <sheetName val="Kalender"/>
      <sheetName val="SummBB"/>
      <sheetName val="CF_1b"/>
      <sheetName val="CF_1c"/>
      <sheetName val="Summary"/>
      <sheetName val="BB_1b"/>
      <sheetName val="BB_1c"/>
      <sheetName val="Outsanding"/>
      <sheetName val="Tabel penerimaan dan wjb pjk"/>
      <sheetName val="Tabel dan Grafi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WA yield Graph"/>
      <sheetName val="Yield Curve"/>
      <sheetName val="July Calculation "/>
      <sheetName val="July sort by bond"/>
      <sheetName val="July sort by seller"/>
      <sheetName val="July sort by buyer"/>
      <sheetName val="July sort by name"/>
      <sheetName val="June Calculation "/>
      <sheetName val="May Calculation"/>
      <sheetName val="April Calculation"/>
      <sheetName val="March FR Calculation"/>
      <sheetName val="February FR Calculation"/>
      <sheetName val="January Calculation"/>
      <sheetName val="Bond Data"/>
      <sheetName val="WA_yield_Graph"/>
      <sheetName val="Yield_Curve"/>
      <sheetName val="July_Calculation_"/>
      <sheetName val="July_sort_by_bond"/>
      <sheetName val="July_sort_by_seller"/>
      <sheetName val="July_sort_by_buyer"/>
      <sheetName val="July_sort_by_name"/>
      <sheetName val="June_Calculation_"/>
      <sheetName val="May_Calculation"/>
      <sheetName val="April_Calculation"/>
      <sheetName val="March_FR_Calculation"/>
      <sheetName val="February_FR_Calculation"/>
      <sheetName val="January_Calculation"/>
      <sheetName val="Bond_Data"/>
      <sheetName val="Page 51"/>
      <sheetName val="Page 5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4">
          <cell r="A4" t="str">
            <v>FR0001</v>
          </cell>
          <cell r="B4">
            <v>38245</v>
          </cell>
          <cell r="C4">
            <v>0.12</v>
          </cell>
        </row>
        <row r="5">
          <cell r="A5" t="str">
            <v>FR0002</v>
          </cell>
          <cell r="B5">
            <v>39979</v>
          </cell>
          <cell r="C5">
            <v>0.14000000000000001</v>
          </cell>
        </row>
        <row r="6">
          <cell r="A6" t="str">
            <v>FR0003</v>
          </cell>
          <cell r="B6">
            <v>38487</v>
          </cell>
          <cell r="C6">
            <v>0.12</v>
          </cell>
        </row>
        <row r="7">
          <cell r="A7" t="str">
            <v>FR0004</v>
          </cell>
          <cell r="B7">
            <v>38763</v>
          </cell>
          <cell r="C7">
            <v>0.12125</v>
          </cell>
        </row>
        <row r="8">
          <cell r="A8" t="str">
            <v>FR0005</v>
          </cell>
          <cell r="B8">
            <v>39278</v>
          </cell>
          <cell r="C8">
            <v>0.1225</v>
          </cell>
        </row>
        <row r="9">
          <cell r="A9" t="str">
            <v>FR0006</v>
          </cell>
          <cell r="B9">
            <v>38245</v>
          </cell>
          <cell r="C9">
            <v>0.16500000000000001</v>
          </cell>
        </row>
        <row r="10">
          <cell r="A10" t="str">
            <v>FR0007</v>
          </cell>
          <cell r="B10">
            <v>38245</v>
          </cell>
          <cell r="C10">
            <v>0.1</v>
          </cell>
        </row>
        <row r="11">
          <cell r="A11" t="str">
            <v>FR0008</v>
          </cell>
          <cell r="B11">
            <v>38487</v>
          </cell>
          <cell r="C11">
            <v>0.16500000000000001</v>
          </cell>
        </row>
        <row r="12">
          <cell r="A12" t="str">
            <v>FR0009</v>
          </cell>
          <cell r="B12">
            <v>38487</v>
          </cell>
          <cell r="C12">
            <v>0.1</v>
          </cell>
        </row>
        <row r="13">
          <cell r="A13" t="str">
            <v>VR0001</v>
          </cell>
          <cell r="B13">
            <v>37462</v>
          </cell>
          <cell r="C13">
            <v>0.1579923</v>
          </cell>
        </row>
        <row r="14">
          <cell r="A14" t="str">
            <v>VR0002</v>
          </cell>
          <cell r="B14">
            <v>37677</v>
          </cell>
          <cell r="C14">
            <v>0.1579923</v>
          </cell>
        </row>
        <row r="15">
          <cell r="A15" t="str">
            <v>VR0003</v>
          </cell>
          <cell r="B15">
            <v>37797</v>
          </cell>
          <cell r="C15">
            <v>0.1627699</v>
          </cell>
        </row>
        <row r="16">
          <cell r="A16" t="str">
            <v>VR0004</v>
          </cell>
          <cell r="B16">
            <v>38011</v>
          </cell>
          <cell r="C16">
            <v>0.1579923</v>
          </cell>
        </row>
        <row r="17">
          <cell r="A17" t="str">
            <v>VR0005</v>
          </cell>
          <cell r="B17">
            <v>38132</v>
          </cell>
          <cell r="C17">
            <v>0.1579923</v>
          </cell>
        </row>
        <row r="18">
          <cell r="A18" t="str">
            <v>VR0006</v>
          </cell>
          <cell r="B18">
            <v>38346</v>
          </cell>
          <cell r="C18">
            <v>0.1627699</v>
          </cell>
        </row>
        <row r="19">
          <cell r="A19" t="str">
            <v>VR0007</v>
          </cell>
          <cell r="B19">
            <v>38467</v>
          </cell>
          <cell r="C19">
            <v>0.1579923</v>
          </cell>
        </row>
        <row r="20">
          <cell r="A20" t="str">
            <v>VR0008</v>
          </cell>
          <cell r="B20">
            <v>38681</v>
          </cell>
          <cell r="C20">
            <v>0.1579923</v>
          </cell>
        </row>
        <row r="21">
          <cell r="A21" t="str">
            <v>VR0009</v>
          </cell>
          <cell r="B21">
            <v>38801</v>
          </cell>
          <cell r="C21">
            <v>0.1627699</v>
          </cell>
        </row>
        <row r="22">
          <cell r="A22" t="str">
            <v>VR0010</v>
          </cell>
          <cell r="B22">
            <v>39015</v>
          </cell>
          <cell r="C22">
            <v>0.1579923</v>
          </cell>
        </row>
        <row r="23">
          <cell r="A23" t="str">
            <v>VR0011</v>
          </cell>
          <cell r="B23">
            <v>39138</v>
          </cell>
          <cell r="C23">
            <v>0.1579923</v>
          </cell>
        </row>
        <row r="24">
          <cell r="A24" t="str">
            <v>VR0012</v>
          </cell>
          <cell r="B24">
            <v>39350</v>
          </cell>
          <cell r="C24">
            <v>0.1627699</v>
          </cell>
        </row>
        <row r="25">
          <cell r="A25" t="str">
            <v>VR0013</v>
          </cell>
          <cell r="B25">
            <v>39472</v>
          </cell>
          <cell r="C25">
            <v>0.1579923</v>
          </cell>
        </row>
        <row r="26">
          <cell r="A26" t="str">
            <v>VR0014</v>
          </cell>
          <cell r="B26">
            <v>39685</v>
          </cell>
          <cell r="C26">
            <v>0.1579923</v>
          </cell>
        </row>
        <row r="27">
          <cell r="A27" t="str">
            <v>VR0015</v>
          </cell>
          <cell r="B27">
            <v>39807</v>
          </cell>
          <cell r="C27">
            <v>0.1627699</v>
          </cell>
        </row>
        <row r="28">
          <cell r="A28" t="str">
            <v>VR0016</v>
          </cell>
          <cell r="B28">
            <v>40019</v>
          </cell>
          <cell r="C28">
            <v>0.1579923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WA yield Graph"/>
      <sheetName val="Yield Curve"/>
      <sheetName val="July Calculation "/>
      <sheetName val="July sort by bond"/>
      <sheetName val="July sort by seller"/>
      <sheetName val="July sort by buyer"/>
      <sheetName val="July sort by name"/>
      <sheetName val="June Calculation "/>
      <sheetName val="May Calculation"/>
      <sheetName val="April Calculation"/>
      <sheetName val="March FR Calculation"/>
      <sheetName val="February FR Calculation"/>
      <sheetName val="January Calculation"/>
      <sheetName val="Bond Data"/>
      <sheetName val="WA_yield_Graph"/>
      <sheetName val="Yield_Curve"/>
      <sheetName val="July_Calculation_"/>
      <sheetName val="July_sort_by_bond"/>
      <sheetName val="July_sort_by_seller"/>
      <sheetName val="July_sort_by_buyer"/>
      <sheetName val="July_sort_by_name"/>
      <sheetName val="June_Calculation_"/>
      <sheetName val="May_Calculation"/>
      <sheetName val="April_Calculation"/>
      <sheetName val="March_FR_Calculation"/>
      <sheetName val="February_FR_Calculation"/>
      <sheetName val="January_Calculation"/>
      <sheetName val="Bond_Data"/>
      <sheetName val="Page 50"/>
      <sheetName val="Page 5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4">
          <cell r="A4" t="str">
            <v>FR0001</v>
          </cell>
          <cell r="B4">
            <v>38245</v>
          </cell>
          <cell r="C4">
            <v>0.12</v>
          </cell>
        </row>
        <row r="5">
          <cell r="A5" t="str">
            <v>FR0002</v>
          </cell>
          <cell r="B5">
            <v>39979</v>
          </cell>
          <cell r="C5">
            <v>0.14000000000000001</v>
          </cell>
        </row>
        <row r="6">
          <cell r="A6" t="str">
            <v>FR0003</v>
          </cell>
          <cell r="B6">
            <v>38487</v>
          </cell>
          <cell r="C6">
            <v>0.12</v>
          </cell>
        </row>
        <row r="7">
          <cell r="A7" t="str">
            <v>FR0004</v>
          </cell>
          <cell r="B7">
            <v>38763</v>
          </cell>
          <cell r="C7">
            <v>0.12125</v>
          </cell>
        </row>
        <row r="8">
          <cell r="A8" t="str">
            <v>FR0005</v>
          </cell>
          <cell r="B8">
            <v>39278</v>
          </cell>
          <cell r="C8">
            <v>0.1225</v>
          </cell>
        </row>
        <row r="9">
          <cell r="A9" t="str">
            <v>FR0006</v>
          </cell>
          <cell r="B9">
            <v>38245</v>
          </cell>
          <cell r="C9">
            <v>0.16500000000000001</v>
          </cell>
        </row>
        <row r="10">
          <cell r="A10" t="str">
            <v>FR0007</v>
          </cell>
          <cell r="B10">
            <v>38245</v>
          </cell>
          <cell r="C10">
            <v>0.1</v>
          </cell>
        </row>
        <row r="11">
          <cell r="A11" t="str">
            <v>FR0008</v>
          </cell>
          <cell r="B11">
            <v>38487</v>
          </cell>
          <cell r="C11">
            <v>0.16500000000000001</v>
          </cell>
        </row>
        <row r="12">
          <cell r="A12" t="str">
            <v>FR0009</v>
          </cell>
          <cell r="B12">
            <v>38487</v>
          </cell>
          <cell r="C12">
            <v>0.1</v>
          </cell>
        </row>
        <row r="13">
          <cell r="A13" t="str">
            <v>VR0001</v>
          </cell>
          <cell r="B13">
            <v>37462</v>
          </cell>
          <cell r="C13">
            <v>0.1579923</v>
          </cell>
        </row>
        <row r="14">
          <cell r="A14" t="str">
            <v>VR0002</v>
          </cell>
          <cell r="B14">
            <v>37677</v>
          </cell>
          <cell r="C14">
            <v>0.1579923</v>
          </cell>
        </row>
        <row r="15">
          <cell r="A15" t="str">
            <v>VR0003</v>
          </cell>
          <cell r="B15">
            <v>37797</v>
          </cell>
          <cell r="C15">
            <v>0.1627699</v>
          </cell>
        </row>
        <row r="16">
          <cell r="A16" t="str">
            <v>VR0004</v>
          </cell>
          <cell r="B16">
            <v>38011</v>
          </cell>
          <cell r="C16">
            <v>0.1579923</v>
          </cell>
        </row>
        <row r="17">
          <cell r="A17" t="str">
            <v>VR0005</v>
          </cell>
          <cell r="B17">
            <v>38132</v>
          </cell>
          <cell r="C17">
            <v>0.1579923</v>
          </cell>
        </row>
        <row r="18">
          <cell r="A18" t="str">
            <v>VR0006</v>
          </cell>
          <cell r="B18">
            <v>38346</v>
          </cell>
          <cell r="C18">
            <v>0.1627699</v>
          </cell>
        </row>
        <row r="19">
          <cell r="A19" t="str">
            <v>VR0007</v>
          </cell>
          <cell r="B19">
            <v>38467</v>
          </cell>
          <cell r="C19">
            <v>0.1579923</v>
          </cell>
        </row>
        <row r="20">
          <cell r="A20" t="str">
            <v>VR0008</v>
          </cell>
          <cell r="B20">
            <v>38681</v>
          </cell>
          <cell r="C20">
            <v>0.1579923</v>
          </cell>
        </row>
        <row r="21">
          <cell r="A21" t="str">
            <v>VR0009</v>
          </cell>
          <cell r="B21">
            <v>38801</v>
          </cell>
          <cell r="C21">
            <v>0.1627699</v>
          </cell>
        </row>
        <row r="22">
          <cell r="A22" t="str">
            <v>VR0010</v>
          </cell>
          <cell r="B22">
            <v>39015</v>
          </cell>
          <cell r="C22">
            <v>0.1579923</v>
          </cell>
        </row>
        <row r="23">
          <cell r="A23" t="str">
            <v>VR0011</v>
          </cell>
          <cell r="B23">
            <v>39138</v>
          </cell>
          <cell r="C23">
            <v>0.1579923</v>
          </cell>
        </row>
        <row r="24">
          <cell r="A24" t="str">
            <v>VR0012</v>
          </cell>
          <cell r="B24">
            <v>39350</v>
          </cell>
          <cell r="C24">
            <v>0.1627699</v>
          </cell>
        </row>
        <row r="25">
          <cell r="A25" t="str">
            <v>VR0013</v>
          </cell>
          <cell r="B25">
            <v>39472</v>
          </cell>
          <cell r="C25">
            <v>0.1579923</v>
          </cell>
        </row>
        <row r="26">
          <cell r="A26" t="str">
            <v>VR0014</v>
          </cell>
          <cell r="B26">
            <v>39685</v>
          </cell>
          <cell r="C26">
            <v>0.1579923</v>
          </cell>
        </row>
        <row r="27">
          <cell r="A27" t="str">
            <v>VR0015</v>
          </cell>
          <cell r="B27">
            <v>39807</v>
          </cell>
          <cell r="C27">
            <v>0.1627699</v>
          </cell>
        </row>
        <row r="28">
          <cell r="A28" t="str">
            <v>VR0016</v>
          </cell>
          <cell r="B28">
            <v>40019</v>
          </cell>
          <cell r="C28">
            <v>0.1579923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59"/>
  <sheetViews>
    <sheetView showGridLines="0" view="pageBreakPreview" zoomScaleSheetLayoutView="100" workbookViewId="0">
      <pane xSplit="3" ySplit="3" topLeftCell="L226" activePane="bottomRight" state="frozen"/>
      <selection pane="topRight" activeCell="D1" sqref="D1"/>
      <selection pane="bottomLeft" activeCell="A4" sqref="A4"/>
      <selection pane="bottomRight" activeCell="A5" sqref="A5:O10"/>
    </sheetView>
  </sheetViews>
  <sheetFormatPr defaultColWidth="9.140625" defaultRowHeight="11.25" x14ac:dyDescent="0.2"/>
  <cols>
    <col min="1" max="2" width="11.28515625" style="2" customWidth="1"/>
    <col min="3" max="3" width="20.85546875" style="2" customWidth="1"/>
    <col min="4" max="4" width="11.28515625" style="2" customWidth="1"/>
    <col min="5" max="9" width="10.7109375" style="2" customWidth="1"/>
    <col min="10" max="11" width="10.140625" style="2" customWidth="1"/>
    <col min="12" max="12" width="13.5703125" style="2" bestFit="1" customWidth="1"/>
    <col min="13" max="13" width="18.140625" style="2" bestFit="1" customWidth="1"/>
    <col min="14" max="14" width="16.85546875" style="2" customWidth="1"/>
    <col min="15" max="15" width="16" style="2" bestFit="1" customWidth="1"/>
    <col min="16" max="16" width="10.85546875" style="2" customWidth="1"/>
    <col min="17" max="17" width="11.42578125" style="2" bestFit="1" customWidth="1"/>
    <col min="18" max="18" width="10" style="2" customWidth="1"/>
    <col min="19" max="20" width="12" style="2" bestFit="1" customWidth="1"/>
    <col min="21" max="24" width="9.140625" style="2"/>
    <col min="25" max="26" width="10.7109375" style="2" bestFit="1" customWidth="1"/>
    <col min="27" max="28" width="9.85546875" style="2" bestFit="1" customWidth="1"/>
    <col min="29" max="16384" width="9.140625" style="2"/>
  </cols>
  <sheetData>
    <row r="1" spans="1:28" x14ac:dyDescent="0.2">
      <c r="A1" s="1" t="s">
        <v>44</v>
      </c>
      <c r="B1" s="1"/>
    </row>
    <row r="3" spans="1:28" ht="33.75" x14ac:dyDescent="0.2">
      <c r="A3" s="63" t="s">
        <v>0</v>
      </c>
      <c r="B3" s="3" t="s">
        <v>1</v>
      </c>
      <c r="C3" s="4" t="s">
        <v>2</v>
      </c>
      <c r="D3" s="3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3" t="s">
        <v>9</v>
      </c>
      <c r="K3" s="3" t="s">
        <v>10</v>
      </c>
      <c r="L3" s="3" t="s">
        <v>11</v>
      </c>
      <c r="M3" s="4" t="s">
        <v>12</v>
      </c>
      <c r="N3" s="3" t="s">
        <v>13</v>
      </c>
      <c r="O3" s="3" t="s">
        <v>14</v>
      </c>
      <c r="P3" s="5" t="s">
        <v>15</v>
      </c>
      <c r="Q3" s="4" t="s">
        <v>16</v>
      </c>
      <c r="R3" s="53"/>
    </row>
    <row r="4" spans="1:28" ht="9.75" customHeight="1" x14ac:dyDescent="0.2">
      <c r="A4" s="6"/>
      <c r="B4" s="7"/>
      <c r="C4" s="8"/>
      <c r="D4" s="9"/>
      <c r="E4" s="10"/>
      <c r="F4" s="10"/>
      <c r="G4" s="10"/>
      <c r="H4" s="10"/>
      <c r="I4" s="10"/>
      <c r="J4" s="11"/>
      <c r="K4" s="12"/>
      <c r="L4" s="13"/>
      <c r="M4" s="14"/>
      <c r="N4" s="13"/>
      <c r="O4" s="13"/>
      <c r="P4" s="15"/>
      <c r="Q4" s="14"/>
      <c r="R4" s="54"/>
    </row>
    <row r="5" spans="1:28" ht="13.5" customHeight="1" x14ac:dyDescent="0.2">
      <c r="A5" s="16">
        <v>2012</v>
      </c>
      <c r="B5" s="17"/>
      <c r="C5" s="18"/>
      <c r="D5" s="19"/>
      <c r="E5" s="20"/>
      <c r="F5" s="20"/>
      <c r="G5" s="20"/>
      <c r="H5" s="20"/>
      <c r="I5" s="20"/>
      <c r="J5" s="21"/>
      <c r="K5" s="21"/>
      <c r="L5" s="22"/>
      <c r="M5" s="23"/>
      <c r="N5" s="24"/>
      <c r="O5" s="22"/>
      <c r="P5" s="25"/>
      <c r="Q5" s="26"/>
      <c r="R5" s="55"/>
    </row>
    <row r="6" spans="1:28" ht="13.5" customHeight="1" x14ac:dyDescent="0.2">
      <c r="A6" s="60">
        <v>40918</v>
      </c>
      <c r="B6" s="61">
        <v>40920</v>
      </c>
      <c r="C6" s="18" t="s">
        <v>38</v>
      </c>
      <c r="D6" s="19">
        <v>41010</v>
      </c>
      <c r="E6" s="50">
        <v>0</v>
      </c>
      <c r="F6" s="27">
        <v>3.8124999999999999E-2</v>
      </c>
      <c r="G6" s="27">
        <v>4.2510300000000001E-2</v>
      </c>
      <c r="H6" s="27">
        <v>4.6249999999999999E-2</v>
      </c>
      <c r="I6" s="27">
        <v>3.8124999999999999E-2</v>
      </c>
      <c r="J6" s="28">
        <v>3.8699999999999998E-2</v>
      </c>
      <c r="K6" s="28">
        <v>3.9375E-2</v>
      </c>
      <c r="L6" s="22">
        <v>7000000</v>
      </c>
      <c r="M6" s="22">
        <v>5340000</v>
      </c>
      <c r="N6" s="22">
        <v>2100000</v>
      </c>
      <c r="O6" s="22">
        <v>1000000</v>
      </c>
      <c r="P6" s="46">
        <f>M6/O6</f>
        <v>5.34</v>
      </c>
      <c r="Q6" s="56">
        <v>0.04</v>
      </c>
      <c r="R6" s="56"/>
      <c r="S6" s="57">
        <f>O6*J6/$R$10</f>
        <v>39656643.565745413</v>
      </c>
      <c r="T6" s="57"/>
      <c r="Y6" s="39">
        <f>SUM(O6:O127)</f>
        <v>169717805</v>
      </c>
      <c r="Z6" s="39">
        <f>Y6-SUM(O11,O78,O80)</f>
        <v>169717805</v>
      </c>
      <c r="AA6" s="39">
        <f>SUM(O6:O63)</f>
        <v>98372805</v>
      </c>
      <c r="AB6" s="39">
        <f>Z6-AA6</f>
        <v>71345000</v>
      </c>
    </row>
    <row r="7" spans="1:28" ht="13.5" customHeight="1" x14ac:dyDescent="0.2">
      <c r="A7" s="60"/>
      <c r="B7" s="88"/>
      <c r="C7" s="18" t="s">
        <v>37</v>
      </c>
      <c r="D7" s="19">
        <v>41285</v>
      </c>
      <c r="E7" s="50"/>
      <c r="F7" s="27">
        <v>4.2500000000000003E-2</v>
      </c>
      <c r="G7" s="27">
        <v>4.64795E-2</v>
      </c>
      <c r="H7" s="27">
        <v>5.0937499999999997E-2</v>
      </c>
      <c r="I7" s="27">
        <v>4.2500000000000003E-2</v>
      </c>
      <c r="J7" s="28">
        <v>4.4999999999999998E-2</v>
      </c>
      <c r="K7" s="28">
        <v>4.5312499999999999E-2</v>
      </c>
      <c r="L7" s="22"/>
      <c r="M7" s="22">
        <v>8400000</v>
      </c>
      <c r="N7" s="22">
        <v>2350000</v>
      </c>
      <c r="O7" s="22">
        <v>2350000</v>
      </c>
      <c r="P7" s="46">
        <f>M7/O7</f>
        <v>3.5744680851063828</v>
      </c>
      <c r="Q7" s="56">
        <v>4.4999999999999998E-2</v>
      </c>
      <c r="R7" s="56"/>
      <c r="S7" s="57"/>
      <c r="T7" s="57"/>
      <c r="Z7" s="39">
        <v>270419408</v>
      </c>
    </row>
    <row r="8" spans="1:28" ht="13.5" customHeight="1" x14ac:dyDescent="0.2">
      <c r="A8" s="16"/>
      <c r="B8" s="17"/>
      <c r="C8" s="18" t="s">
        <v>34</v>
      </c>
      <c r="D8" s="19">
        <v>42840</v>
      </c>
      <c r="E8" s="27">
        <v>6.25E-2</v>
      </c>
      <c r="F8" s="27">
        <v>5.3749999999999999E-2</v>
      </c>
      <c r="G8" s="27">
        <v>5.5071799999999997E-2</v>
      </c>
      <c r="H8" s="27">
        <v>5.7500000000000002E-2</v>
      </c>
      <c r="I8" s="27">
        <v>5.3749999999999999E-2</v>
      </c>
      <c r="J8" s="28">
        <v>5.4477200000000003E-2</v>
      </c>
      <c r="K8" s="28">
        <v>5.5E-2</v>
      </c>
      <c r="L8" s="22"/>
      <c r="M8" s="22">
        <v>2001000</v>
      </c>
      <c r="N8" s="22">
        <v>800000</v>
      </c>
      <c r="O8" s="22">
        <v>800000</v>
      </c>
      <c r="P8" s="46">
        <f>M8/O8</f>
        <v>2.5012500000000002</v>
      </c>
      <c r="Q8" s="56">
        <v>5.45E-2</v>
      </c>
      <c r="R8" s="56">
        <f>O8*J8/$O$218</f>
        <v>1.6228675337265212E-4</v>
      </c>
      <c r="S8" s="57">
        <f>O8*J8/$R$10</f>
        <v>44659078.095293567</v>
      </c>
      <c r="T8" s="57"/>
      <c r="Z8" s="102">
        <f>Z6/Z7</f>
        <v>0.62760955752110814</v>
      </c>
      <c r="AA8" s="102">
        <f>AA6/Z7</f>
        <v>0.36377864195309534</v>
      </c>
      <c r="AB8" s="102">
        <f>AB6/Z7</f>
        <v>0.2638309155680128</v>
      </c>
    </row>
    <row r="9" spans="1:28" ht="13.5" customHeight="1" x14ac:dyDescent="0.2">
      <c r="A9" s="16"/>
      <c r="B9" s="17"/>
      <c r="C9" s="18" t="s">
        <v>35</v>
      </c>
      <c r="D9" s="19">
        <v>44696</v>
      </c>
      <c r="E9" s="27">
        <v>7.0000000000000007E-2</v>
      </c>
      <c r="F9" s="27">
        <v>6.1874999999999999E-2</v>
      </c>
      <c r="G9" s="27">
        <v>6.2820100000000004E-2</v>
      </c>
      <c r="H9" s="27">
        <v>6.4687499999999995E-2</v>
      </c>
      <c r="I9" s="27">
        <v>6.1874999999999999E-2</v>
      </c>
      <c r="J9" s="28">
        <v>6.2399799999999998E-2</v>
      </c>
      <c r="K9" s="28">
        <v>6.25E-2</v>
      </c>
      <c r="L9" s="22"/>
      <c r="M9" s="22">
        <v>4642000</v>
      </c>
      <c r="N9" s="22">
        <v>2200000</v>
      </c>
      <c r="O9" s="22">
        <v>2200000</v>
      </c>
      <c r="P9" s="46">
        <f>M9/O9</f>
        <v>2.11</v>
      </c>
      <c r="Q9" s="56">
        <v>6.2399999999999997E-2</v>
      </c>
      <c r="R9" s="56">
        <f>O9*J9/$O$218</f>
        <v>5.1119216151037034E-4</v>
      </c>
      <c r="S9" s="57">
        <f>O9*J9/$R$10</f>
        <v>140673038.23727033</v>
      </c>
      <c r="T9" s="57"/>
    </row>
    <row r="10" spans="1:28" ht="13.5" customHeight="1" x14ac:dyDescent="0.2">
      <c r="A10" s="16"/>
      <c r="B10" s="17"/>
      <c r="C10" s="18" t="s">
        <v>32</v>
      </c>
      <c r="D10" s="19">
        <v>48380</v>
      </c>
      <c r="E10" s="27">
        <v>8.2500000000000004E-2</v>
      </c>
      <c r="F10" s="27">
        <v>7.1249999999999994E-2</v>
      </c>
      <c r="G10" s="27">
        <v>7.21778E-2</v>
      </c>
      <c r="H10" s="27">
        <v>7.8125E-2</v>
      </c>
      <c r="I10" s="27">
        <v>7.1249999999999994E-2</v>
      </c>
      <c r="J10" s="28">
        <v>7.17999E-2</v>
      </c>
      <c r="K10" s="28">
        <v>7.2187500000000002E-2</v>
      </c>
      <c r="L10" s="22"/>
      <c r="M10" s="22">
        <v>7286000</v>
      </c>
      <c r="N10" s="22">
        <v>3650000</v>
      </c>
      <c r="O10" s="22">
        <v>3650000</v>
      </c>
      <c r="P10" s="46">
        <f>M10/O10</f>
        <v>1.9961643835616438</v>
      </c>
      <c r="Q10" s="56">
        <v>7.1800000000000003E-2</v>
      </c>
      <c r="R10" s="56">
        <f>O10*J10/$O$218</f>
        <v>9.7587683979963086E-4</v>
      </c>
      <c r="S10" s="57">
        <f>O10*J10/$R$10</f>
        <v>268547858</v>
      </c>
      <c r="T10" s="62">
        <f>SUM(S6:S10)</f>
        <v>493536617.89830929</v>
      </c>
    </row>
    <row r="11" spans="1:28" s="71" customFormat="1" ht="13.5" customHeight="1" x14ac:dyDescent="0.2">
      <c r="A11" s="76">
        <v>40918</v>
      </c>
      <c r="B11" s="72">
        <v>40925</v>
      </c>
      <c r="C11" s="77" t="s">
        <v>39</v>
      </c>
      <c r="D11" s="78">
        <v>51883</v>
      </c>
      <c r="E11" s="79">
        <v>5.2499999999999998E-2</v>
      </c>
      <c r="F11" s="80"/>
      <c r="G11" s="80"/>
      <c r="H11" s="80"/>
      <c r="I11" s="80"/>
      <c r="J11" s="81"/>
      <c r="K11" s="81"/>
      <c r="L11" s="82">
        <v>22630000</v>
      </c>
      <c r="M11" s="83" t="s">
        <v>41</v>
      </c>
      <c r="N11" s="83" t="s">
        <v>40</v>
      </c>
      <c r="O11" s="83" t="s">
        <v>40</v>
      </c>
      <c r="P11" s="84"/>
      <c r="Q11" s="85"/>
      <c r="R11" s="56"/>
      <c r="U11" s="71">
        <f>3600*U12</f>
        <v>32976000</v>
      </c>
      <c r="V11" s="71">
        <f>U12*1750</f>
        <v>16030000</v>
      </c>
      <c r="W11" s="71">
        <f>U12*1750</f>
        <v>16030000</v>
      </c>
    </row>
    <row r="12" spans="1:28" s="71" customFormat="1" ht="13.5" customHeight="1" x14ac:dyDescent="0.2">
      <c r="A12" s="73"/>
      <c r="B12" s="74"/>
      <c r="C12" s="64"/>
      <c r="D12" s="65"/>
      <c r="E12" s="75"/>
      <c r="F12" s="66"/>
      <c r="G12" s="66"/>
      <c r="H12" s="66"/>
      <c r="I12" s="66"/>
      <c r="J12" s="67"/>
      <c r="K12" s="67"/>
      <c r="L12" s="68"/>
      <c r="M12" s="68">
        <f>U11</f>
        <v>32976000</v>
      </c>
      <c r="N12" s="68">
        <f>V11</f>
        <v>16030000</v>
      </c>
      <c r="O12" s="68">
        <f>W11</f>
        <v>16030000</v>
      </c>
      <c r="P12" s="69">
        <f t="shared" ref="P12:P17" si="0">M12/O12</f>
        <v>2.0571428571428569</v>
      </c>
      <c r="Q12" s="70"/>
      <c r="R12" s="56">
        <f>O12*J12/$O$218</f>
        <v>0</v>
      </c>
      <c r="U12" s="71">
        <v>9160</v>
      </c>
      <c r="Y12" s="71">
        <v>2009</v>
      </c>
      <c r="Z12" s="71">
        <v>29.73</v>
      </c>
      <c r="AA12" s="71">
        <v>30.35</v>
      </c>
      <c r="AB12" s="71">
        <f>Z12+AA12</f>
        <v>60.08</v>
      </c>
    </row>
    <row r="13" spans="1:28" ht="13.5" customHeight="1" x14ac:dyDescent="0.2">
      <c r="A13" s="89">
        <v>40934</v>
      </c>
      <c r="B13" s="90">
        <v>40938</v>
      </c>
      <c r="C13" s="91" t="s">
        <v>42</v>
      </c>
      <c r="D13" s="92">
        <v>41028</v>
      </c>
      <c r="E13" s="93">
        <v>0</v>
      </c>
      <c r="F13" s="94">
        <v>1.7500000000000002E-2</v>
      </c>
      <c r="G13" s="94">
        <v>2.8961600000000001E-2</v>
      </c>
      <c r="H13" s="94">
        <v>4.6875E-2</v>
      </c>
      <c r="I13" s="94">
        <v>1.7500000000000002E-2</v>
      </c>
      <c r="J13" s="95">
        <v>1.92383E-2</v>
      </c>
      <c r="K13" s="95">
        <v>2.1874999999999999E-2</v>
      </c>
      <c r="L13" s="96">
        <v>7000000</v>
      </c>
      <c r="M13" s="96">
        <v>12480000</v>
      </c>
      <c r="N13" s="96">
        <v>10550000</v>
      </c>
      <c r="O13" s="96">
        <v>800000</v>
      </c>
      <c r="P13" s="97">
        <f t="shared" si="0"/>
        <v>15.6</v>
      </c>
      <c r="Q13" s="98">
        <v>2.75E-2</v>
      </c>
      <c r="R13" s="56"/>
      <c r="S13" s="57">
        <f>O13*J13/$R$10</f>
        <v>15771088.494281758</v>
      </c>
      <c r="T13" s="57"/>
      <c r="Y13" s="2">
        <v>2010</v>
      </c>
      <c r="Z13" s="2">
        <v>34.630000000000003</v>
      </c>
      <c r="AA13" s="2">
        <v>35.58</v>
      </c>
      <c r="AB13" s="71">
        <f>Z13+AA13</f>
        <v>70.210000000000008</v>
      </c>
    </row>
    <row r="14" spans="1:28" ht="13.5" customHeight="1" x14ac:dyDescent="0.2">
      <c r="A14" s="100"/>
      <c r="B14" s="99"/>
      <c r="C14" s="91" t="s">
        <v>37</v>
      </c>
      <c r="D14" s="92">
        <v>41285</v>
      </c>
      <c r="E14" s="93">
        <v>0</v>
      </c>
      <c r="F14" s="94">
        <v>3.3750000000000002E-2</v>
      </c>
      <c r="G14" s="94">
        <v>3.8882899999999998E-2</v>
      </c>
      <c r="H14" s="94">
        <v>4.2500000000000003E-2</v>
      </c>
      <c r="I14" s="94">
        <v>3.3750000000000002E-2</v>
      </c>
      <c r="J14" s="95">
        <v>3.3750000000000002E-2</v>
      </c>
      <c r="K14" s="95">
        <v>3.3750000000000002E-2</v>
      </c>
      <c r="L14" s="96"/>
      <c r="M14" s="96">
        <v>12295000</v>
      </c>
      <c r="N14" s="96">
        <v>2000000</v>
      </c>
      <c r="O14" s="96">
        <v>1000000</v>
      </c>
      <c r="P14" s="97">
        <f t="shared" si="0"/>
        <v>12.295</v>
      </c>
      <c r="Q14" s="98">
        <v>3.5000000000000003E-2</v>
      </c>
      <c r="R14" s="56"/>
      <c r="S14" s="57"/>
      <c r="T14" s="57"/>
      <c r="Y14" s="71">
        <v>2011</v>
      </c>
      <c r="Z14" s="2">
        <v>29.53</v>
      </c>
      <c r="AA14" s="2">
        <v>25.94</v>
      </c>
      <c r="AB14" s="71">
        <f>Z14+AA14</f>
        <v>55.47</v>
      </c>
    </row>
    <row r="15" spans="1:28" ht="13.5" customHeight="1" x14ac:dyDescent="0.2">
      <c r="A15" s="100"/>
      <c r="B15" s="101"/>
      <c r="C15" s="91" t="s">
        <v>35</v>
      </c>
      <c r="D15" s="92">
        <v>44696</v>
      </c>
      <c r="E15" s="94">
        <v>7.0000000000000007E-2</v>
      </c>
      <c r="F15" s="94">
        <v>5.5E-2</v>
      </c>
      <c r="G15" s="94">
        <v>5.6320200000000001E-2</v>
      </c>
      <c r="H15" s="94">
        <v>5.7500000000000002E-2</v>
      </c>
      <c r="I15" s="94">
        <v>5.5E-2</v>
      </c>
      <c r="J15" s="95">
        <v>5.5782100000000001E-2</v>
      </c>
      <c r="K15" s="95">
        <v>5.5937500000000001E-2</v>
      </c>
      <c r="L15" s="96"/>
      <c r="M15" s="96">
        <v>6109000</v>
      </c>
      <c r="N15" s="96">
        <v>3600000</v>
      </c>
      <c r="O15" s="96">
        <v>2100000</v>
      </c>
      <c r="P15" s="97">
        <f t="shared" si="0"/>
        <v>2.9090476190476191</v>
      </c>
      <c r="Q15" s="98">
        <v>5.6000000000000001E-2</v>
      </c>
      <c r="R15" s="56">
        <f>O15*J15/$O$218</f>
        <v>4.3620683059032256E-4</v>
      </c>
      <c r="S15" s="57">
        <f>O15*J15/$R$10</f>
        <v>120038108.52202614</v>
      </c>
      <c r="T15" s="57"/>
      <c r="Y15" s="2">
        <v>2012</v>
      </c>
      <c r="AB15" s="2">
        <v>62.76</v>
      </c>
    </row>
    <row r="16" spans="1:28" ht="13.5" customHeight="1" x14ac:dyDescent="0.2">
      <c r="A16" s="100"/>
      <c r="B16" s="101"/>
      <c r="C16" s="91" t="s">
        <v>43</v>
      </c>
      <c r="D16" s="92">
        <v>46522</v>
      </c>
      <c r="E16" s="94">
        <v>7.0000000000000007E-2</v>
      </c>
      <c r="F16" s="94">
        <v>6.1249999999999999E-2</v>
      </c>
      <c r="G16" s="94">
        <v>6.2487399999999999E-2</v>
      </c>
      <c r="H16" s="94">
        <v>6.4687499999999995E-2</v>
      </c>
      <c r="I16" s="94">
        <v>6.1249999999999999E-2</v>
      </c>
      <c r="J16" s="95">
        <v>6.1973399999999998E-2</v>
      </c>
      <c r="K16" s="95">
        <v>6.25E-2</v>
      </c>
      <c r="L16" s="96"/>
      <c r="M16" s="96">
        <v>7421000</v>
      </c>
      <c r="N16" s="96">
        <v>3550000</v>
      </c>
      <c r="O16" s="96">
        <v>3400000</v>
      </c>
      <c r="P16" s="97">
        <f t="shared" si="0"/>
        <v>2.1826470588235294</v>
      </c>
      <c r="Q16" s="98">
        <v>6.2E-2</v>
      </c>
      <c r="R16" s="56">
        <f>O16*J16/$O$218</f>
        <v>7.8462573326501821E-4</v>
      </c>
      <c r="S16" s="57">
        <f>O16*J16/$R$10</f>
        <v>215918189.06498832</v>
      </c>
      <c r="T16" s="57"/>
      <c r="Y16" s="71">
        <v>2013</v>
      </c>
      <c r="AB16" s="2">
        <f>AVERAGE(AB12:AB15)</f>
        <v>62.13</v>
      </c>
    </row>
    <row r="17" spans="1:20" ht="13.5" customHeight="1" x14ac:dyDescent="0.2">
      <c r="A17" s="100"/>
      <c r="B17" s="101"/>
      <c r="C17" s="91" t="s">
        <v>32</v>
      </c>
      <c r="D17" s="92">
        <v>48380</v>
      </c>
      <c r="E17" s="94">
        <v>8.2500000000000004E-2</v>
      </c>
      <c r="F17" s="94">
        <v>5.7500000000000002E-2</v>
      </c>
      <c r="G17" s="94">
        <v>6.7082199999999995E-2</v>
      </c>
      <c r="H17" s="94">
        <v>6.8750000000000006E-2</v>
      </c>
      <c r="I17" s="94">
        <v>5.7500000000000002E-2</v>
      </c>
      <c r="J17" s="95">
        <v>6.64907E-2</v>
      </c>
      <c r="K17" s="95">
        <v>6.6562499999999997E-2</v>
      </c>
      <c r="L17" s="96"/>
      <c r="M17" s="96">
        <v>11829500</v>
      </c>
      <c r="N17" s="96">
        <v>5300000</v>
      </c>
      <c r="O17" s="96">
        <v>3200000</v>
      </c>
      <c r="P17" s="97">
        <f t="shared" si="0"/>
        <v>3.6967187500000001</v>
      </c>
      <c r="Q17" s="98">
        <v>6.6600000000000006E-2</v>
      </c>
      <c r="R17" s="56">
        <f>O17*J17/$O$218</f>
        <v>7.9229915138626799E-4</v>
      </c>
      <c r="S17" s="57">
        <f>O17*J17/$R$10</f>
        <v>218029807.98651439</v>
      </c>
      <c r="T17" s="62">
        <f>SUM(S13:S17)</f>
        <v>569757194.06781054</v>
      </c>
    </row>
    <row r="18" spans="1:20" ht="13.5" customHeight="1" x14ac:dyDescent="0.2">
      <c r="A18" s="60">
        <v>40939</v>
      </c>
      <c r="B18" s="61">
        <v>40941</v>
      </c>
      <c r="C18" s="18" t="s">
        <v>48</v>
      </c>
      <c r="D18" s="19">
        <v>43115</v>
      </c>
      <c r="E18" s="50">
        <v>0</v>
      </c>
      <c r="F18" s="27">
        <v>5.1874999999999998E-2</v>
      </c>
      <c r="G18" s="27"/>
      <c r="H18" s="27">
        <v>6.6250000000000003E-2</v>
      </c>
      <c r="I18" s="27"/>
      <c r="J18" s="28"/>
      <c r="K18" s="28"/>
      <c r="L18" s="22">
        <v>1000000</v>
      </c>
      <c r="M18" s="22">
        <v>573000</v>
      </c>
      <c r="N18" s="22"/>
      <c r="O18" s="22"/>
      <c r="P18" s="46"/>
      <c r="Q18" s="56"/>
      <c r="R18" s="56"/>
      <c r="S18" s="57">
        <f>O18*J18/$R$10</f>
        <v>0</v>
      </c>
      <c r="T18" s="57"/>
    </row>
    <row r="19" spans="1:20" ht="13.5" customHeight="1" x14ac:dyDescent="0.2">
      <c r="A19" s="60"/>
      <c r="B19" s="88"/>
      <c r="C19" s="18" t="s">
        <v>49</v>
      </c>
      <c r="D19" s="19">
        <v>44576</v>
      </c>
      <c r="E19" s="50"/>
      <c r="F19" s="27">
        <v>5.5E-2</v>
      </c>
      <c r="G19" s="27"/>
      <c r="H19" s="27">
        <v>6.5000000000000002E-2</v>
      </c>
      <c r="I19" s="27">
        <v>5.5E-2</v>
      </c>
      <c r="J19" s="28">
        <v>5.5379499999999998E-2</v>
      </c>
      <c r="K19" s="28"/>
      <c r="L19" s="22"/>
      <c r="M19" s="22">
        <v>536000</v>
      </c>
      <c r="N19" s="22">
        <v>415000</v>
      </c>
      <c r="O19" s="22">
        <v>415000</v>
      </c>
      <c r="P19" s="46">
        <f t="shared" ref="P19:P26" si="1">M19/O19</f>
        <v>1.2915662650602409</v>
      </c>
      <c r="Q19" s="56"/>
      <c r="R19" s="56"/>
      <c r="S19" s="57"/>
      <c r="T19" s="57"/>
    </row>
    <row r="20" spans="1:20" ht="13.5" customHeight="1" x14ac:dyDescent="0.2">
      <c r="A20" s="16"/>
      <c r="B20" s="17"/>
      <c r="C20" s="18" t="s">
        <v>50</v>
      </c>
      <c r="D20" s="19">
        <v>46402</v>
      </c>
      <c r="E20" s="27"/>
      <c r="F20" s="27">
        <v>6.0624999999999998E-2</v>
      </c>
      <c r="G20" s="27"/>
      <c r="H20" s="27">
        <v>7.0624999999999993E-2</v>
      </c>
      <c r="I20" s="27">
        <v>6.0624999999999998E-2</v>
      </c>
      <c r="J20" s="28">
        <v>6.2141200000000001E-2</v>
      </c>
      <c r="K20" s="28"/>
      <c r="L20" s="22"/>
      <c r="M20" s="22">
        <v>1391000</v>
      </c>
      <c r="N20" s="22">
        <v>510000</v>
      </c>
      <c r="O20" s="22">
        <v>510000</v>
      </c>
      <c r="P20" s="46">
        <f t="shared" si="1"/>
        <v>2.7274509803921569</v>
      </c>
      <c r="Q20" s="56"/>
      <c r="R20" s="56">
        <f>O20*J20/$O$218</f>
        <v>1.1801252944642738E-4</v>
      </c>
      <c r="S20" s="57">
        <f>O20*J20/$R$10</f>
        <v>32475421.802721612</v>
      </c>
      <c r="T20" s="57"/>
    </row>
    <row r="21" spans="1:20" ht="13.5" customHeight="1" x14ac:dyDescent="0.2">
      <c r="A21" s="16"/>
      <c r="B21" s="17"/>
      <c r="C21" s="18" t="s">
        <v>51</v>
      </c>
      <c r="D21" s="19">
        <v>49720</v>
      </c>
      <c r="E21" s="27">
        <v>0.1</v>
      </c>
      <c r="F21" s="27">
        <v>6.5625000000000003E-2</v>
      </c>
      <c r="G21" s="27"/>
      <c r="H21" s="27">
        <v>7.4999999999999997E-2</v>
      </c>
      <c r="I21" s="27">
        <v>6.5625000000000003E-2</v>
      </c>
      <c r="J21" s="28">
        <v>6.8074800000000005E-2</v>
      </c>
      <c r="K21" s="28"/>
      <c r="L21" s="22"/>
      <c r="M21" s="22">
        <v>1676000</v>
      </c>
      <c r="N21" s="22">
        <v>400000</v>
      </c>
      <c r="O21" s="22">
        <v>400000</v>
      </c>
      <c r="P21" s="46">
        <f t="shared" si="1"/>
        <v>4.1900000000000004</v>
      </c>
      <c r="Q21" s="56"/>
      <c r="R21" s="56">
        <f>O21*J21/$O$218</f>
        <v>1.0139689887230455E-4</v>
      </c>
      <c r="S21" s="57">
        <f>O21*J21/$R$10</f>
        <v>27903029.244541667</v>
      </c>
      <c r="T21" s="57"/>
    </row>
    <row r="22" spans="1:20" ht="13.5" customHeight="1" x14ac:dyDescent="0.2">
      <c r="A22" s="89">
        <v>40946</v>
      </c>
      <c r="B22" s="90">
        <v>40948</v>
      </c>
      <c r="C22" s="91" t="s">
        <v>45</v>
      </c>
      <c r="D22" s="92">
        <v>41037</v>
      </c>
      <c r="E22" s="93">
        <v>0</v>
      </c>
      <c r="F22" s="94">
        <v>1.4999999999999999E-2</v>
      </c>
      <c r="G22" s="94">
        <v>1.99528E-2</v>
      </c>
      <c r="H22" s="94">
        <v>3.2500000000000001E-2</v>
      </c>
      <c r="I22" s="94">
        <v>1.4999999999999999E-2</v>
      </c>
      <c r="J22" s="95">
        <v>1.6862499999999999E-2</v>
      </c>
      <c r="K22" s="95">
        <v>1.90625E-2</v>
      </c>
      <c r="L22" s="96">
        <v>8000000</v>
      </c>
      <c r="M22" s="96">
        <v>4535000</v>
      </c>
      <c r="N22" s="96">
        <v>4535000</v>
      </c>
      <c r="O22" s="96">
        <v>1000000</v>
      </c>
      <c r="P22" s="97">
        <f t="shared" si="1"/>
        <v>4.5350000000000001</v>
      </c>
      <c r="Q22" s="98">
        <v>0.02</v>
      </c>
      <c r="R22" s="56"/>
      <c r="S22" s="57">
        <f>O22*J22/$R$10</f>
        <v>17279332.09631478</v>
      </c>
      <c r="T22" s="57"/>
    </row>
    <row r="23" spans="1:20" ht="13.5" customHeight="1" x14ac:dyDescent="0.2">
      <c r="A23" s="100"/>
      <c r="B23" s="99"/>
      <c r="C23" s="91" t="s">
        <v>46</v>
      </c>
      <c r="D23" s="92">
        <v>41313</v>
      </c>
      <c r="E23" s="93">
        <v>0</v>
      </c>
      <c r="F23" s="94">
        <v>0.03</v>
      </c>
      <c r="G23" s="94">
        <v>3.3719499999999999E-2</v>
      </c>
      <c r="H23" s="94">
        <v>4.4374999999999998E-2</v>
      </c>
      <c r="I23" s="94">
        <v>0.03</v>
      </c>
      <c r="J23" s="95">
        <v>3.0232100000000001E-2</v>
      </c>
      <c r="K23" s="95">
        <v>3.125E-2</v>
      </c>
      <c r="L23" s="96"/>
      <c r="M23" s="96">
        <v>6075000</v>
      </c>
      <c r="N23" s="96">
        <v>6075000</v>
      </c>
      <c r="O23" s="96">
        <v>1000000</v>
      </c>
      <c r="P23" s="97">
        <f t="shared" si="1"/>
        <v>6.0750000000000002</v>
      </c>
      <c r="Q23" s="98">
        <v>3.5000000000000003E-2</v>
      </c>
      <c r="R23" s="56"/>
      <c r="S23" s="57"/>
      <c r="T23" s="57"/>
    </row>
    <row r="24" spans="1:20" ht="13.5" customHeight="1" x14ac:dyDescent="0.2">
      <c r="A24" s="100"/>
      <c r="B24" s="101"/>
      <c r="C24" s="91" t="s">
        <v>43</v>
      </c>
      <c r="D24" s="92">
        <v>46522</v>
      </c>
      <c r="E24" s="94">
        <v>7.0000000000000007E-2</v>
      </c>
      <c r="F24" s="94">
        <v>5.6562500000000002E-2</v>
      </c>
      <c r="G24" s="94">
        <v>5.7902200000000001E-2</v>
      </c>
      <c r="H24" s="94">
        <v>5.9062499999999997E-2</v>
      </c>
      <c r="I24" s="94">
        <v>5.6562500000000002E-2</v>
      </c>
      <c r="J24" s="95">
        <v>5.7464300000000003E-2</v>
      </c>
      <c r="K24" s="95">
        <v>5.7500000000000002E-2</v>
      </c>
      <c r="L24" s="96"/>
      <c r="M24" s="96">
        <v>8177000</v>
      </c>
      <c r="N24" s="96">
        <v>4100000</v>
      </c>
      <c r="O24" s="96">
        <v>3450000</v>
      </c>
      <c r="P24" s="97">
        <f t="shared" si="1"/>
        <v>2.3701449275362321</v>
      </c>
      <c r="Q24" s="98">
        <v>5.7500000000000002E-2</v>
      </c>
      <c r="R24" s="56">
        <f>O24*J24/$O$24</f>
        <v>5.7464300000000003E-2</v>
      </c>
      <c r="S24" s="57">
        <f>O24*J24/$R$10</f>
        <v>203152515.68087783</v>
      </c>
      <c r="T24" s="57"/>
    </row>
    <row r="25" spans="1:20" ht="13.5" customHeight="1" x14ac:dyDescent="0.2">
      <c r="A25" s="100"/>
      <c r="B25" s="101"/>
      <c r="C25" s="91" t="s">
        <v>32</v>
      </c>
      <c r="D25" s="92">
        <v>48380</v>
      </c>
      <c r="E25" s="94">
        <v>8.2500000000000004E-2</v>
      </c>
      <c r="F25" s="94">
        <v>6.1249999999999999E-2</v>
      </c>
      <c r="G25" s="94">
        <v>6.2410500000000001E-2</v>
      </c>
      <c r="H25" s="94">
        <v>6.4687499999999995E-2</v>
      </c>
      <c r="I25" s="94">
        <v>6.1249999999999999E-2</v>
      </c>
      <c r="J25" s="95">
        <v>6.1781299999999997E-2</v>
      </c>
      <c r="K25" s="95">
        <v>6.1874999999999999E-2</v>
      </c>
      <c r="L25" s="96"/>
      <c r="M25" s="96">
        <v>9233500</v>
      </c>
      <c r="N25" s="96">
        <v>7350000</v>
      </c>
      <c r="O25" s="96">
        <v>2000000</v>
      </c>
      <c r="P25" s="97">
        <f t="shared" si="1"/>
        <v>4.6167499999999997</v>
      </c>
      <c r="Q25" s="98">
        <v>6.2199999999999998E-2</v>
      </c>
      <c r="R25" s="56">
        <f>O25*J25/$O$24</f>
        <v>3.5815246376811591E-2</v>
      </c>
      <c r="S25" s="57">
        <f>O25*J25/$R$10</f>
        <v>126617002.2288572</v>
      </c>
      <c r="T25" s="57"/>
    </row>
    <row r="26" spans="1:20" ht="13.5" customHeight="1" x14ac:dyDescent="0.2">
      <c r="A26" s="100"/>
      <c r="B26" s="101"/>
      <c r="C26" s="91" t="s">
        <v>47</v>
      </c>
      <c r="D26" s="92">
        <v>51971</v>
      </c>
      <c r="E26" s="94">
        <v>6.3750000000000001E-2</v>
      </c>
      <c r="F26" s="94">
        <v>6.3125000000000001E-2</v>
      </c>
      <c r="G26" s="94">
        <v>6.5730700000000003E-2</v>
      </c>
      <c r="H26" s="94">
        <v>7.0000000000000007E-2</v>
      </c>
      <c r="I26" s="94">
        <v>6.3125000000000001E-2</v>
      </c>
      <c r="J26" s="95">
        <v>6.4899399999999996E-2</v>
      </c>
      <c r="K26" s="95">
        <v>6.5000000000000002E-2</v>
      </c>
      <c r="L26" s="96"/>
      <c r="M26" s="96">
        <v>14362500</v>
      </c>
      <c r="N26" s="96">
        <v>6000000</v>
      </c>
      <c r="O26" s="96">
        <v>4550000</v>
      </c>
      <c r="P26" s="97">
        <f t="shared" si="1"/>
        <v>3.1565934065934065</v>
      </c>
      <c r="Q26" s="98">
        <v>6.5000000000000002E-2</v>
      </c>
      <c r="R26" s="56">
        <f>O26*J26/$O$24</f>
        <v>8.5591962318840573E-2</v>
      </c>
      <c r="S26" s="57">
        <f>O26*J26/$R$10</f>
        <v>302591738.99508673</v>
      </c>
      <c r="T26" s="62">
        <f>SUM(S22:S26)</f>
        <v>649640589.00113654</v>
      </c>
    </row>
    <row r="27" spans="1:20" ht="13.5" customHeight="1" x14ac:dyDescent="0.2">
      <c r="A27" s="60">
        <v>40953</v>
      </c>
      <c r="B27" s="61">
        <v>40955</v>
      </c>
      <c r="C27" s="18" t="s">
        <v>52</v>
      </c>
      <c r="D27" s="19"/>
      <c r="E27" s="50">
        <v>0</v>
      </c>
      <c r="F27" s="27">
        <v>3.7187499999999998E-2</v>
      </c>
      <c r="G27" s="27"/>
      <c r="H27" s="27">
        <v>4.2500000000000003E-2</v>
      </c>
      <c r="I27" s="27"/>
      <c r="J27" s="28"/>
      <c r="K27" s="28"/>
      <c r="L27" s="22">
        <v>1000000</v>
      </c>
      <c r="M27" s="22">
        <v>2331000</v>
      </c>
      <c r="N27" s="22"/>
      <c r="O27" s="22"/>
      <c r="P27" s="46"/>
      <c r="Q27" s="56"/>
      <c r="R27" s="56"/>
      <c r="S27" s="57">
        <f>O27*J27/$R$10</f>
        <v>0</v>
      </c>
      <c r="T27" s="57"/>
    </row>
    <row r="28" spans="1:20" ht="13.5" customHeight="1" x14ac:dyDescent="0.2">
      <c r="A28" s="60"/>
      <c r="B28" s="88"/>
      <c r="C28" s="18" t="s">
        <v>48</v>
      </c>
      <c r="D28" s="19">
        <v>43146</v>
      </c>
      <c r="E28" s="103">
        <v>4.4499999999999998E-2</v>
      </c>
      <c r="F28" s="27">
        <v>4.71875E-2</v>
      </c>
      <c r="G28" s="27"/>
      <c r="H28" s="27">
        <v>4.65625E-2</v>
      </c>
      <c r="I28" s="27">
        <v>4.71875E-2</v>
      </c>
      <c r="J28" s="27">
        <v>4.71875E-2</v>
      </c>
      <c r="K28" s="28"/>
      <c r="L28" s="22"/>
      <c r="M28" s="22">
        <v>246000</v>
      </c>
      <c r="N28" s="22">
        <v>25000</v>
      </c>
      <c r="O28" s="22">
        <v>25000</v>
      </c>
      <c r="P28" s="46">
        <f t="shared" ref="P28:P37" si="2">M28/O28</f>
        <v>9.84</v>
      </c>
      <c r="Q28" s="56"/>
      <c r="R28" s="56"/>
      <c r="S28" s="57"/>
      <c r="T28" s="57"/>
    </row>
    <row r="29" spans="1:20" ht="13.5" customHeight="1" x14ac:dyDescent="0.2">
      <c r="A29" s="16"/>
      <c r="B29" s="17"/>
      <c r="C29" s="18" t="s">
        <v>49</v>
      </c>
      <c r="D29" s="19">
        <v>44576</v>
      </c>
      <c r="E29" s="50"/>
      <c r="F29" s="27">
        <v>5.3124999999999999E-2</v>
      </c>
      <c r="G29" s="27"/>
      <c r="H29" s="27">
        <v>5.7500000000000002E-2</v>
      </c>
      <c r="I29" s="27"/>
      <c r="J29" s="28"/>
      <c r="K29" s="28"/>
      <c r="L29" s="22"/>
      <c r="M29" s="22">
        <v>219000</v>
      </c>
      <c r="N29" s="22"/>
      <c r="O29" s="22"/>
      <c r="P29" s="46"/>
      <c r="Q29" s="56"/>
      <c r="R29" s="56">
        <f>O29*J29/$O$218</f>
        <v>0</v>
      </c>
      <c r="S29" s="57">
        <f>O29*J29/$R$10</f>
        <v>0</v>
      </c>
      <c r="T29" s="57"/>
    </row>
    <row r="30" spans="1:20" ht="13.5" customHeight="1" x14ac:dyDescent="0.2">
      <c r="A30" s="16"/>
      <c r="B30" s="17"/>
      <c r="C30" s="18" t="s">
        <v>50</v>
      </c>
      <c r="D30" s="19">
        <v>46402</v>
      </c>
      <c r="E30" s="27">
        <v>0.06</v>
      </c>
      <c r="F30" s="27">
        <v>5.7187500000000002E-2</v>
      </c>
      <c r="G30" s="27"/>
      <c r="H30" s="27">
        <v>6.3125000000000001E-2</v>
      </c>
      <c r="I30" s="27">
        <v>5.7187500000000002E-2</v>
      </c>
      <c r="J30" s="28">
        <v>5.7500000000000002E-2</v>
      </c>
      <c r="K30" s="28"/>
      <c r="L30" s="22"/>
      <c r="M30" s="22">
        <v>476000</v>
      </c>
      <c r="N30" s="22">
        <v>100000</v>
      </c>
      <c r="O30" s="22">
        <v>100000</v>
      </c>
      <c r="P30" s="46">
        <f t="shared" si="2"/>
        <v>4.76</v>
      </c>
      <c r="Q30" s="56"/>
      <c r="R30" s="56"/>
      <c r="S30" s="57"/>
      <c r="T30" s="57"/>
    </row>
    <row r="31" spans="1:20" ht="13.5" customHeight="1" x14ac:dyDescent="0.2">
      <c r="A31" s="16"/>
      <c r="B31" s="17"/>
      <c r="C31" s="18" t="s">
        <v>53</v>
      </c>
      <c r="D31" s="19">
        <v>50086</v>
      </c>
      <c r="E31" s="27">
        <v>6.0999999999999999E-2</v>
      </c>
      <c r="F31" s="27">
        <v>6.1562499999999999E-2</v>
      </c>
      <c r="G31" s="27"/>
      <c r="H31" s="27">
        <v>7.0000000000000007E-2</v>
      </c>
      <c r="I31" s="27">
        <v>6.1562499999999999E-2</v>
      </c>
      <c r="J31" s="28">
        <v>6.2482999999999997E-2</v>
      </c>
      <c r="K31" s="28"/>
      <c r="L31" s="22"/>
      <c r="M31" s="22">
        <v>3784000</v>
      </c>
      <c r="N31" s="22">
        <v>2050000</v>
      </c>
      <c r="O31" s="22">
        <v>2050000</v>
      </c>
      <c r="P31" s="46">
        <f t="shared" si="2"/>
        <v>1.8458536585365855</v>
      </c>
      <c r="Q31" s="56"/>
      <c r="R31" s="56">
        <f>O31*J31/$O$218</f>
        <v>4.7697327006793698E-4</v>
      </c>
      <c r="S31" s="57">
        <f>O31*J31/$R$10</f>
        <v>131256470.87423423</v>
      </c>
      <c r="T31" s="57"/>
    </row>
    <row r="32" spans="1:20" ht="13.5" customHeight="1" x14ac:dyDescent="0.2">
      <c r="A32" s="89">
        <v>40960</v>
      </c>
      <c r="B32" s="90">
        <v>40962</v>
      </c>
      <c r="C32" s="91" t="s">
        <v>54</v>
      </c>
      <c r="D32" s="92">
        <v>41051</v>
      </c>
      <c r="E32" s="93">
        <v>0</v>
      </c>
      <c r="F32" s="94">
        <v>2.0937500000000001E-2</v>
      </c>
      <c r="G32" s="94">
        <v>2.6657799999999999E-2</v>
      </c>
      <c r="H32" s="94">
        <v>3.5000000000000003E-2</v>
      </c>
      <c r="I32" s="94">
        <v>2.0937500000000001E-2</v>
      </c>
      <c r="J32" s="95">
        <v>2.2009399999999998E-2</v>
      </c>
      <c r="K32" s="95">
        <v>2.3125E-2</v>
      </c>
      <c r="L32" s="96">
        <v>8000000</v>
      </c>
      <c r="M32" s="96">
        <v>2360000</v>
      </c>
      <c r="N32" s="96">
        <v>1200000</v>
      </c>
      <c r="O32" s="96">
        <v>1000000</v>
      </c>
      <c r="P32" s="97">
        <f t="shared" si="2"/>
        <v>2.36</v>
      </c>
      <c r="Q32" s="98">
        <v>2.2599999999999999E-2</v>
      </c>
      <c r="R32" s="56"/>
      <c r="S32" s="57">
        <f>O32*J32/$R$10</f>
        <v>22553460.746664524</v>
      </c>
      <c r="T32" s="57"/>
    </row>
    <row r="33" spans="1:20" ht="13.5" customHeight="1" x14ac:dyDescent="0.2">
      <c r="A33" s="100"/>
      <c r="B33" s="99"/>
      <c r="C33" s="91" t="s">
        <v>55</v>
      </c>
      <c r="D33" s="92">
        <v>41285</v>
      </c>
      <c r="E33" s="93">
        <v>0</v>
      </c>
      <c r="F33" s="94">
        <v>3.125E-2</v>
      </c>
      <c r="G33" s="94">
        <v>3.5607899999999998E-2</v>
      </c>
      <c r="H33" s="94">
        <v>0.04</v>
      </c>
      <c r="I33" s="94">
        <v>3.125E-2</v>
      </c>
      <c r="J33" s="95">
        <v>3.31667E-2</v>
      </c>
      <c r="K33" s="95">
        <v>3.3750000000000002E-2</v>
      </c>
      <c r="L33" s="96"/>
      <c r="M33" s="96">
        <v>3380000</v>
      </c>
      <c r="N33" s="96">
        <v>750000</v>
      </c>
      <c r="O33" s="96">
        <v>750000</v>
      </c>
      <c r="P33" s="97">
        <f t="shared" si="2"/>
        <v>4.5066666666666668</v>
      </c>
      <c r="Q33" s="98">
        <v>3.32E-2</v>
      </c>
      <c r="R33" s="56"/>
      <c r="S33" s="57"/>
      <c r="T33" s="57"/>
    </row>
    <row r="34" spans="1:20" ht="13.5" customHeight="1" x14ac:dyDescent="0.2">
      <c r="A34" s="100"/>
      <c r="B34" s="101"/>
      <c r="C34" s="91" t="s">
        <v>35</v>
      </c>
      <c r="D34" s="92">
        <v>44696</v>
      </c>
      <c r="E34" s="94">
        <v>7.0000000000000007E-2</v>
      </c>
      <c r="F34" s="94">
        <v>5.1562499999999997E-2</v>
      </c>
      <c r="G34" s="94">
        <v>5.2656099999999997E-2</v>
      </c>
      <c r="H34" s="94">
        <v>5.3749999999999999E-2</v>
      </c>
      <c r="I34" s="94">
        <v>5.1562499999999997E-2</v>
      </c>
      <c r="J34" s="95">
        <v>5.2357800000000003E-2</v>
      </c>
      <c r="K34" s="95">
        <v>5.2499999999999998E-2</v>
      </c>
      <c r="L34" s="96"/>
      <c r="M34" s="96">
        <v>4294000</v>
      </c>
      <c r="N34" s="96">
        <v>2150000</v>
      </c>
      <c r="O34" s="96">
        <v>1950000</v>
      </c>
      <c r="P34" s="97">
        <f t="shared" si="2"/>
        <v>2.2020512820512819</v>
      </c>
      <c r="Q34" s="98">
        <v>5.2400000000000002E-2</v>
      </c>
      <c r="R34" s="56" t="e">
        <f>O34*J34/$O$29</f>
        <v>#DIV/0!</v>
      </c>
      <c r="S34" s="57">
        <f>O34*J34/$R$10</f>
        <v>104621511.48188221</v>
      </c>
      <c r="T34" s="57"/>
    </row>
    <row r="35" spans="1:20" ht="13.5" customHeight="1" x14ac:dyDescent="0.2">
      <c r="A35" s="100"/>
      <c r="B35" s="101"/>
      <c r="C35" s="91" t="s">
        <v>32</v>
      </c>
      <c r="D35" s="92">
        <v>48380</v>
      </c>
      <c r="E35" s="94">
        <v>8.2500000000000004E-2</v>
      </c>
      <c r="F35" s="94">
        <v>6.0624999999999998E-2</v>
      </c>
      <c r="G35" s="94">
        <v>6.1441099999999998E-2</v>
      </c>
      <c r="H35" s="94">
        <v>6.25E-2</v>
      </c>
      <c r="I35" s="94">
        <v>6.0624999999999998E-2</v>
      </c>
      <c r="J35" s="95">
        <v>6.09974E-2</v>
      </c>
      <c r="K35" s="95">
        <v>6.1249999999999999E-2</v>
      </c>
      <c r="L35" s="96"/>
      <c r="M35" s="96">
        <v>5631000</v>
      </c>
      <c r="N35" s="96">
        <v>2600000</v>
      </c>
      <c r="O35" s="96">
        <v>2600000</v>
      </c>
      <c r="P35" s="97">
        <f t="shared" si="2"/>
        <v>2.1657692307692309</v>
      </c>
      <c r="Q35" s="98">
        <v>6.0999999999999999E-2</v>
      </c>
      <c r="R35" s="56" t="e">
        <f>O35*J35/$O$29</f>
        <v>#DIV/0!</v>
      </c>
      <c r="S35" s="57">
        <f>O35*J35/$R$10</f>
        <v>162513581.15288678</v>
      </c>
      <c r="T35" s="57"/>
    </row>
    <row r="36" spans="1:20" ht="13.5" customHeight="1" x14ac:dyDescent="0.2">
      <c r="A36" s="100"/>
      <c r="B36" s="101"/>
      <c r="C36" s="91" t="s">
        <v>47</v>
      </c>
      <c r="D36" s="92">
        <v>51971</v>
      </c>
      <c r="E36" s="94">
        <v>6.3750000000000001E-2</v>
      </c>
      <c r="F36" s="94">
        <v>6.0937499999999999E-2</v>
      </c>
      <c r="G36" s="94">
        <v>6.2096600000000002E-2</v>
      </c>
      <c r="H36" s="94">
        <v>6.5000000000000002E-2</v>
      </c>
      <c r="I36" s="94">
        <v>6.0937499999999999E-2</v>
      </c>
      <c r="J36" s="95">
        <v>6.1901900000000003E-2</v>
      </c>
      <c r="K36" s="95">
        <v>6.25E-2</v>
      </c>
      <c r="L36" s="96"/>
      <c r="M36" s="96">
        <v>6600500</v>
      </c>
      <c r="N36" s="96">
        <v>6350000</v>
      </c>
      <c r="O36" s="96">
        <v>5700000</v>
      </c>
      <c r="P36" s="97">
        <f t="shared" si="2"/>
        <v>1.1579824561403509</v>
      </c>
      <c r="Q36" s="98">
        <v>6.2E-2</v>
      </c>
      <c r="R36" s="56" t="e">
        <f>O36*J36/$O$29</f>
        <v>#DIV/0!</v>
      </c>
      <c r="S36" s="57">
        <f>O36*J36/$R$10</f>
        <v>361562869.01167369</v>
      </c>
      <c r="T36" s="62">
        <f>SUM(S32:S36)</f>
        <v>651251422.39310718</v>
      </c>
    </row>
    <row r="37" spans="1:20" ht="13.5" customHeight="1" x14ac:dyDescent="0.2">
      <c r="A37" s="60">
        <v>40962</v>
      </c>
      <c r="B37" s="61">
        <v>40966</v>
      </c>
      <c r="C37" s="18" t="s">
        <v>48</v>
      </c>
      <c r="D37" s="19">
        <v>43146</v>
      </c>
      <c r="E37" s="104">
        <v>4.4499999999999998E-2</v>
      </c>
      <c r="F37" s="27">
        <v>4.4687499999999998E-2</v>
      </c>
      <c r="G37" s="27"/>
      <c r="H37" s="27">
        <v>0.06</v>
      </c>
      <c r="I37" s="27">
        <v>4.4687499999999998E-2</v>
      </c>
      <c r="J37" s="28">
        <v>4.4687499999999998E-2</v>
      </c>
      <c r="K37" s="28"/>
      <c r="L37" s="22">
        <v>1000000</v>
      </c>
      <c r="M37" s="22">
        <v>246000</v>
      </c>
      <c r="N37" s="22">
        <v>25000</v>
      </c>
      <c r="O37" s="22">
        <v>25000</v>
      </c>
      <c r="P37" s="46">
        <f t="shared" si="2"/>
        <v>9.84</v>
      </c>
      <c r="Q37" s="56"/>
      <c r="R37" s="56"/>
      <c r="S37" s="57">
        <f>O37*J37/$R$10</f>
        <v>1144803.7851061034</v>
      </c>
      <c r="T37" s="57"/>
    </row>
    <row r="38" spans="1:20" ht="13.5" customHeight="1" x14ac:dyDescent="0.2">
      <c r="A38" s="60"/>
      <c r="B38" s="88"/>
      <c r="C38" s="18" t="s">
        <v>49</v>
      </c>
      <c r="D38" s="19">
        <v>44576</v>
      </c>
      <c r="E38" s="104">
        <v>5.45E-2</v>
      </c>
      <c r="F38" s="27">
        <v>5.4375E-2</v>
      </c>
      <c r="G38" s="27"/>
      <c r="H38" s="27">
        <v>6.5000000000000002E-2</v>
      </c>
      <c r="I38" s="27">
        <v>5.4375E-2</v>
      </c>
      <c r="J38" s="27">
        <v>5.5E-2</v>
      </c>
      <c r="K38" s="28"/>
      <c r="L38" s="22"/>
      <c r="M38" s="22">
        <v>196000</v>
      </c>
      <c r="N38" s="22">
        <v>170000</v>
      </c>
      <c r="O38" s="22">
        <v>170000</v>
      </c>
      <c r="P38" s="46">
        <f>M38/O38</f>
        <v>1.1529411764705881</v>
      </c>
      <c r="Q38" s="56"/>
      <c r="R38" s="56"/>
      <c r="S38" s="57"/>
      <c r="T38" s="57"/>
    </row>
    <row r="39" spans="1:20" ht="13.5" customHeight="1" x14ac:dyDescent="0.2">
      <c r="A39" s="16"/>
      <c r="B39" s="17"/>
      <c r="C39" s="18" t="s">
        <v>50</v>
      </c>
      <c r="D39" s="19">
        <v>46402</v>
      </c>
      <c r="E39" s="27">
        <v>0.06</v>
      </c>
      <c r="F39" s="27">
        <v>5.7500000000000002E-2</v>
      </c>
      <c r="G39" s="27"/>
      <c r="H39" s="27">
        <v>7.0000000000000007E-2</v>
      </c>
      <c r="I39" s="27">
        <v>5.7500000000000002E-2</v>
      </c>
      <c r="J39" s="28">
        <v>5.7782300000000002E-2</v>
      </c>
      <c r="K39" s="28"/>
      <c r="L39" s="22"/>
      <c r="M39" s="22">
        <v>115000</v>
      </c>
      <c r="N39" s="22">
        <v>77000</v>
      </c>
      <c r="O39" s="22">
        <v>77000</v>
      </c>
      <c r="P39" s="46">
        <f>M39/O39</f>
        <v>1.4935064935064934</v>
      </c>
      <c r="Q39" s="56"/>
      <c r="R39" s="56">
        <f>O39*J39/$O$218</f>
        <v>1.6567762383716351E-5</v>
      </c>
      <c r="S39" s="57">
        <f>O39*J39/$R$10</f>
        <v>4559219.8918395555</v>
      </c>
      <c r="T39" s="57"/>
    </row>
    <row r="40" spans="1:20" ht="13.5" customHeight="1" x14ac:dyDescent="0.2">
      <c r="A40" s="16"/>
      <c r="B40" s="17"/>
      <c r="C40" s="18" t="s">
        <v>53</v>
      </c>
      <c r="D40" s="19">
        <v>50086</v>
      </c>
      <c r="E40" s="27">
        <v>6.0999999999999999E-2</v>
      </c>
      <c r="F40" s="27">
        <v>6.25E-2</v>
      </c>
      <c r="G40" s="27"/>
      <c r="H40" s="27">
        <v>7.2499999999999995E-2</v>
      </c>
      <c r="I40" s="27">
        <v>6.25E-2</v>
      </c>
      <c r="J40" s="28">
        <v>6.2923099999999996E-2</v>
      </c>
      <c r="K40" s="28"/>
      <c r="L40" s="22"/>
      <c r="M40" s="22">
        <v>1569500</v>
      </c>
      <c r="N40" s="22">
        <v>1200000</v>
      </c>
      <c r="O40" s="22">
        <v>1200000</v>
      </c>
      <c r="P40" s="46">
        <f>M40/O40</f>
        <v>1.3079166666666666</v>
      </c>
      <c r="Q40" s="56"/>
      <c r="R40" s="56"/>
      <c r="S40" s="57"/>
      <c r="T40" s="57"/>
    </row>
    <row r="41" spans="1:20" ht="13.5" customHeight="1" x14ac:dyDescent="0.2">
      <c r="A41" s="89">
        <v>40974</v>
      </c>
      <c r="B41" s="90">
        <v>40976</v>
      </c>
      <c r="C41" s="91" t="s">
        <v>56</v>
      </c>
      <c r="D41" s="92">
        <v>41067</v>
      </c>
      <c r="E41" s="93">
        <v>0</v>
      </c>
      <c r="F41" s="94">
        <v>0.03</v>
      </c>
      <c r="G41" s="94">
        <v>3.64967E-2</v>
      </c>
      <c r="H41" s="94">
        <v>4.2500000000000003E-2</v>
      </c>
      <c r="I41" s="94">
        <v>0.03</v>
      </c>
      <c r="J41" s="95">
        <v>0.03</v>
      </c>
      <c r="K41" s="95">
        <v>0.03</v>
      </c>
      <c r="L41" s="96">
        <v>5000000</v>
      </c>
      <c r="M41" s="96">
        <v>1900000</v>
      </c>
      <c r="N41" s="96">
        <v>500000</v>
      </c>
      <c r="O41" s="96">
        <v>500000</v>
      </c>
      <c r="P41" s="97">
        <f>M41/O41</f>
        <v>3.8</v>
      </c>
      <c r="Q41" s="98">
        <v>0.03</v>
      </c>
      <c r="R41" s="56"/>
      <c r="S41" s="57">
        <f>O41*J41/$R$10</f>
        <v>15370792.079746285</v>
      </c>
      <c r="T41" s="57"/>
    </row>
    <row r="42" spans="1:20" ht="13.5" customHeight="1" x14ac:dyDescent="0.2">
      <c r="A42" s="100"/>
      <c r="B42" s="99"/>
      <c r="C42" s="91" t="s">
        <v>57</v>
      </c>
      <c r="D42" s="92">
        <v>41312</v>
      </c>
      <c r="E42" s="93">
        <v>0</v>
      </c>
      <c r="F42" s="94">
        <v>4.0625000000000001E-2</v>
      </c>
      <c r="G42" s="94">
        <v>4.3482100000000003E-2</v>
      </c>
      <c r="H42" s="94">
        <v>4.5624999999999999E-2</v>
      </c>
      <c r="I42" s="94">
        <v>4.0625000000000001E-2</v>
      </c>
      <c r="J42" s="95">
        <v>4.0625000000000001E-2</v>
      </c>
      <c r="K42" s="95">
        <v>4.0625000000000001E-2</v>
      </c>
      <c r="L42" s="96"/>
      <c r="M42" s="96">
        <v>2025000</v>
      </c>
      <c r="N42" s="96">
        <v>1100000</v>
      </c>
      <c r="O42" s="96">
        <v>1100000</v>
      </c>
      <c r="P42" s="97">
        <f>M42/O42</f>
        <v>1.8409090909090908</v>
      </c>
      <c r="Q42" s="98">
        <v>4.07E-2</v>
      </c>
      <c r="R42" s="56"/>
      <c r="S42" s="57"/>
      <c r="T42" s="57"/>
    </row>
    <row r="43" spans="1:20" ht="13.5" customHeight="1" x14ac:dyDescent="0.2">
      <c r="A43" s="100"/>
      <c r="B43" s="101"/>
      <c r="C43" s="91" t="s">
        <v>34</v>
      </c>
      <c r="D43" s="92">
        <v>42840</v>
      </c>
      <c r="E43" s="94">
        <v>6.25E-2</v>
      </c>
      <c r="F43" s="94">
        <v>4.9687500000000002E-2</v>
      </c>
      <c r="G43" s="94">
        <v>5.1496300000000002E-2</v>
      </c>
      <c r="H43" s="94">
        <v>5.5E-2</v>
      </c>
      <c r="I43" s="94">
        <v>0</v>
      </c>
      <c r="J43" s="95">
        <v>0</v>
      </c>
      <c r="K43" s="95">
        <v>0</v>
      </c>
      <c r="L43" s="96"/>
      <c r="M43" s="96">
        <v>2835000</v>
      </c>
      <c r="N43" s="96"/>
      <c r="O43" s="96"/>
      <c r="P43" s="97"/>
      <c r="Q43" s="98">
        <v>4.8500000000000001E-2</v>
      </c>
      <c r="R43" s="56">
        <f>O43*J43/$O$39</f>
        <v>0</v>
      </c>
      <c r="S43" s="57">
        <f>O43*J43/$R$10</f>
        <v>0</v>
      </c>
      <c r="T43" s="57"/>
    </row>
    <row r="44" spans="1:20" s="107" customFormat="1" ht="13.5" customHeight="1" x14ac:dyDescent="0.2">
      <c r="A44" s="100"/>
      <c r="B44" s="101"/>
      <c r="C44" s="91" t="s">
        <v>35</v>
      </c>
      <c r="D44" s="92">
        <v>44696</v>
      </c>
      <c r="E44" s="94">
        <v>7.0000000000000007E-2</v>
      </c>
      <c r="F44" s="94">
        <v>5.7187500000000002E-2</v>
      </c>
      <c r="G44" s="94">
        <v>5.8829600000000003E-2</v>
      </c>
      <c r="H44" s="94">
        <v>6.0937499999999999E-2</v>
      </c>
      <c r="I44" s="94">
        <v>0</v>
      </c>
      <c r="J44" s="95">
        <v>0</v>
      </c>
      <c r="K44" s="95">
        <v>0</v>
      </c>
      <c r="L44" s="96"/>
      <c r="M44" s="96">
        <v>1955000</v>
      </c>
      <c r="N44" s="96"/>
      <c r="O44" s="96"/>
      <c r="P44" s="97"/>
      <c r="Q44" s="98">
        <v>5.5800000000000002E-2</v>
      </c>
      <c r="R44" s="105">
        <f>O44*J44/$O$39</f>
        <v>0</v>
      </c>
      <c r="S44" s="106">
        <f>O44*J44/$R$10</f>
        <v>0</v>
      </c>
      <c r="T44" s="106"/>
    </row>
    <row r="45" spans="1:20" ht="13.5" customHeight="1" x14ac:dyDescent="0.2">
      <c r="A45" s="100"/>
      <c r="B45" s="101"/>
      <c r="C45" s="91" t="s">
        <v>43</v>
      </c>
      <c r="D45" s="92">
        <v>46522</v>
      </c>
      <c r="E45" s="94">
        <v>7.0000000000000007E-2</v>
      </c>
      <c r="F45" s="94">
        <v>6.1874999999999999E-2</v>
      </c>
      <c r="G45" s="94">
        <v>6.2988799999999998E-2</v>
      </c>
      <c r="H45" s="94">
        <v>6.7500000000000004E-2</v>
      </c>
      <c r="I45" s="94">
        <v>0</v>
      </c>
      <c r="J45" s="95">
        <v>0</v>
      </c>
      <c r="K45" s="95">
        <v>0</v>
      </c>
      <c r="L45" s="96"/>
      <c r="M45" s="96">
        <v>1905000</v>
      </c>
      <c r="N45" s="96"/>
      <c r="O45" s="96"/>
      <c r="P45" s="97"/>
      <c r="Q45" s="98">
        <v>6.13E-2</v>
      </c>
      <c r="R45" s="56">
        <f>O45*J45/$O$39</f>
        <v>0</v>
      </c>
      <c r="S45" s="57">
        <f>O45*J45/$R$10</f>
        <v>0</v>
      </c>
      <c r="T45" s="57"/>
    </row>
    <row r="46" spans="1:20" ht="13.5" customHeight="1" x14ac:dyDescent="0.2">
      <c r="A46" s="60">
        <v>40981</v>
      </c>
      <c r="B46" s="61">
        <v>40983</v>
      </c>
      <c r="C46" s="18" t="s">
        <v>59</v>
      </c>
      <c r="D46" s="19">
        <v>41166</v>
      </c>
      <c r="E46" s="50">
        <v>0</v>
      </c>
      <c r="F46" s="27">
        <v>3.7499999999999999E-2</v>
      </c>
      <c r="G46" s="27"/>
      <c r="H46" s="27">
        <v>0.05</v>
      </c>
      <c r="I46" s="27"/>
      <c r="J46" s="28">
        <v>3.7959199999999998E-2</v>
      </c>
      <c r="K46" s="28"/>
      <c r="L46" s="22">
        <v>1000000</v>
      </c>
      <c r="M46" s="22">
        <v>2350000</v>
      </c>
      <c r="N46" s="22">
        <v>280000</v>
      </c>
      <c r="O46" s="22">
        <v>280000</v>
      </c>
      <c r="P46" s="46">
        <f>M46/O46</f>
        <v>8.3928571428571423</v>
      </c>
      <c r="Q46" s="56"/>
      <c r="R46" s="56"/>
      <c r="S46" s="57">
        <f>O46*J46/$R$10</f>
        <v>10891308.786652096</v>
      </c>
      <c r="T46" s="57"/>
    </row>
    <row r="47" spans="1:20" ht="13.5" customHeight="1" x14ac:dyDescent="0.2">
      <c r="A47" s="60"/>
      <c r="B47" s="88"/>
      <c r="C47" s="18" t="s">
        <v>48</v>
      </c>
      <c r="D47" s="19">
        <v>43146</v>
      </c>
      <c r="E47" s="104">
        <v>4.4499999999999998E-2</v>
      </c>
      <c r="F47" s="27">
        <v>5.9687499999999998E-2</v>
      </c>
      <c r="G47" s="27"/>
      <c r="H47" s="27">
        <v>6.5000000000000002E-2</v>
      </c>
      <c r="I47" s="27"/>
      <c r="J47" s="27"/>
      <c r="K47" s="28"/>
      <c r="L47" s="22"/>
      <c r="M47" s="22">
        <v>132000</v>
      </c>
      <c r="N47" s="22"/>
      <c r="O47" s="22"/>
      <c r="P47" s="46"/>
      <c r="Q47" s="56"/>
      <c r="R47" s="56"/>
      <c r="S47" s="57"/>
      <c r="T47" s="57"/>
    </row>
    <row r="48" spans="1:20" ht="13.5" customHeight="1" x14ac:dyDescent="0.2">
      <c r="A48" s="16"/>
      <c r="B48" s="17"/>
      <c r="C48" s="18" t="s">
        <v>49</v>
      </c>
      <c r="D48" s="19">
        <v>44576</v>
      </c>
      <c r="E48" s="104">
        <v>5.45E-2</v>
      </c>
      <c r="F48" s="27">
        <v>6.2812499999999993E-2</v>
      </c>
      <c r="G48" s="27"/>
      <c r="H48" s="27">
        <v>7.0000000000000007E-2</v>
      </c>
      <c r="I48" s="27"/>
      <c r="J48" s="28"/>
      <c r="K48" s="28"/>
      <c r="L48" s="22"/>
      <c r="M48" s="22">
        <v>664000</v>
      </c>
      <c r="N48" s="22"/>
      <c r="O48" s="22"/>
      <c r="P48" s="46"/>
      <c r="Q48" s="56"/>
      <c r="R48" s="56">
        <f>O48*J48/$O$218</f>
        <v>0</v>
      </c>
      <c r="S48" s="57">
        <f>O48*J48/$R$10</f>
        <v>0</v>
      </c>
      <c r="T48" s="57"/>
    </row>
    <row r="49" spans="1:20" ht="13.5" customHeight="1" x14ac:dyDescent="0.2">
      <c r="A49" s="16"/>
      <c r="B49" s="17"/>
      <c r="C49" s="18" t="s">
        <v>50</v>
      </c>
      <c r="D49" s="19">
        <v>46402</v>
      </c>
      <c r="E49" s="27">
        <v>0.06</v>
      </c>
      <c r="F49" s="27">
        <v>6.4687499999999995E-2</v>
      </c>
      <c r="G49" s="27"/>
      <c r="H49" s="27">
        <v>7.4999999999999997E-2</v>
      </c>
      <c r="I49" s="27"/>
      <c r="J49" s="28">
        <v>6.4699999999999994E-2</v>
      </c>
      <c r="K49" s="28"/>
      <c r="L49" s="22"/>
      <c r="M49" s="22">
        <v>1326000</v>
      </c>
      <c r="N49" s="22">
        <v>650000</v>
      </c>
      <c r="O49" s="22">
        <v>650000</v>
      </c>
      <c r="P49" s="46">
        <f t="shared" ref="P49:P55" si="3">M49/O49</f>
        <v>2.04</v>
      </c>
      <c r="Q49" s="56"/>
      <c r="R49" s="56"/>
      <c r="S49" s="57"/>
      <c r="T49" s="57"/>
    </row>
    <row r="50" spans="1:20" ht="13.5" customHeight="1" x14ac:dyDescent="0.2">
      <c r="A50" s="16"/>
      <c r="B50" s="17"/>
      <c r="C50" s="18" t="s">
        <v>53</v>
      </c>
      <c r="D50" s="19">
        <v>50086</v>
      </c>
      <c r="E50" s="27">
        <v>6.0999999999999999E-2</v>
      </c>
      <c r="F50" s="27">
        <v>6.4687499999999995E-2</v>
      </c>
      <c r="G50" s="27"/>
      <c r="H50" s="27">
        <v>7.8750000000000001E-2</v>
      </c>
      <c r="I50" s="27"/>
      <c r="J50" s="28">
        <v>6.8666400000000002E-2</v>
      </c>
      <c r="K50" s="28"/>
      <c r="L50" s="22"/>
      <c r="M50" s="22">
        <v>812000</v>
      </c>
      <c r="N50" s="22">
        <v>730000</v>
      </c>
      <c r="O50" s="22">
        <v>730000</v>
      </c>
      <c r="P50" s="46">
        <f t="shared" si="3"/>
        <v>1.1123287671232878</v>
      </c>
      <c r="Q50" s="56"/>
      <c r="R50" s="56">
        <f>O50*J50/$O$218</f>
        <v>1.8665750072748672E-4</v>
      </c>
      <c r="S50" s="57">
        <f>O50*J50/$R$10</f>
        <v>51365571.920214929</v>
      </c>
      <c r="T50" s="57"/>
    </row>
    <row r="51" spans="1:20" ht="13.5" customHeight="1" x14ac:dyDescent="0.2">
      <c r="A51" s="89">
        <v>40987</v>
      </c>
      <c r="B51" s="90">
        <v>40989</v>
      </c>
      <c r="C51" s="91" t="s">
        <v>60</v>
      </c>
      <c r="D51" s="92">
        <v>42268</v>
      </c>
      <c r="E51" s="94">
        <v>6.25E-2</v>
      </c>
      <c r="F51" s="94"/>
      <c r="G51" s="94"/>
      <c r="H51" s="94"/>
      <c r="I51" s="94"/>
      <c r="J51" s="95">
        <v>6.25E-2</v>
      </c>
      <c r="K51" s="95"/>
      <c r="L51" s="96">
        <v>13000000</v>
      </c>
      <c r="M51" s="96">
        <v>13613805</v>
      </c>
      <c r="N51" s="96">
        <v>13613805</v>
      </c>
      <c r="O51" s="96">
        <v>13613805</v>
      </c>
      <c r="P51" s="97">
        <f t="shared" si="3"/>
        <v>1</v>
      </c>
      <c r="Q51" s="98"/>
      <c r="R51" s="56"/>
      <c r="S51" s="57">
        <f>O51*J51/$R$10</f>
        <v>871895691.9550432</v>
      </c>
      <c r="T51" s="57"/>
    </row>
    <row r="52" spans="1:20" ht="13.5" customHeight="1" x14ac:dyDescent="0.2">
      <c r="A52" s="73">
        <v>40988</v>
      </c>
      <c r="B52" s="73">
        <v>40990</v>
      </c>
      <c r="C52" s="64" t="s">
        <v>58</v>
      </c>
      <c r="D52" s="65">
        <v>41051</v>
      </c>
      <c r="E52" s="75">
        <v>0</v>
      </c>
      <c r="F52" s="66">
        <v>0.03</v>
      </c>
      <c r="G52" s="66">
        <v>3.85104E-2</v>
      </c>
      <c r="H52" s="66">
        <v>4.2500000000000003E-2</v>
      </c>
      <c r="I52" s="66">
        <v>0.03</v>
      </c>
      <c r="J52" s="67">
        <v>3.0800000000000001E-2</v>
      </c>
      <c r="K52" s="67">
        <v>3.1875000000000001E-2</v>
      </c>
      <c r="L52" s="68">
        <v>6000000</v>
      </c>
      <c r="M52" s="68">
        <v>2465000</v>
      </c>
      <c r="N52" s="68">
        <v>250000</v>
      </c>
      <c r="O52" s="68">
        <v>250000</v>
      </c>
      <c r="P52" s="69">
        <f t="shared" si="3"/>
        <v>9.86</v>
      </c>
      <c r="Q52" s="108">
        <v>3.1E-2</v>
      </c>
      <c r="R52" s="56"/>
      <c r="S52" s="57">
        <f>O52*J52/$R$10</f>
        <v>7890339.9342697598</v>
      </c>
      <c r="T52" s="57"/>
    </row>
    <row r="53" spans="1:20" ht="13.5" customHeight="1" x14ac:dyDescent="0.2">
      <c r="A53" s="109"/>
      <c r="B53" s="110"/>
      <c r="C53" s="64" t="s">
        <v>57</v>
      </c>
      <c r="D53" s="65">
        <v>41285</v>
      </c>
      <c r="E53" s="75">
        <v>0</v>
      </c>
      <c r="F53" s="66">
        <v>4.0312500000000001E-2</v>
      </c>
      <c r="G53" s="66">
        <v>4.2195000000000003E-2</v>
      </c>
      <c r="H53" s="66">
        <v>4.4999999999999998E-2</v>
      </c>
      <c r="I53" s="66">
        <v>4.0312500000000001E-2</v>
      </c>
      <c r="J53" s="67">
        <v>4.04167E-2</v>
      </c>
      <c r="K53" s="67">
        <v>4.0625000000000001E-2</v>
      </c>
      <c r="L53" s="68"/>
      <c r="M53" s="68">
        <v>2721000</v>
      </c>
      <c r="N53" s="68">
        <v>1050000</v>
      </c>
      <c r="O53" s="68">
        <v>1000000</v>
      </c>
      <c r="P53" s="69">
        <f t="shared" si="3"/>
        <v>2.7210000000000001</v>
      </c>
      <c r="Q53" s="108">
        <v>4.0500000000000001E-2</v>
      </c>
      <c r="R53" s="56"/>
      <c r="S53" s="57"/>
      <c r="T53" s="57"/>
    </row>
    <row r="54" spans="1:20" ht="13.5" customHeight="1" x14ac:dyDescent="0.2">
      <c r="A54" s="109"/>
      <c r="B54" s="111"/>
      <c r="C54" s="64" t="s">
        <v>34</v>
      </c>
      <c r="D54" s="65">
        <v>42840</v>
      </c>
      <c r="E54" s="66">
        <v>6.25E-2</v>
      </c>
      <c r="F54" s="66">
        <v>4.8750000000000002E-2</v>
      </c>
      <c r="G54" s="66">
        <v>5.1622800000000003E-2</v>
      </c>
      <c r="H54" s="66">
        <v>0.06</v>
      </c>
      <c r="I54" s="66">
        <v>4.8750000000000002E-2</v>
      </c>
      <c r="J54" s="67">
        <v>5.1191899999999999E-2</v>
      </c>
      <c r="K54" s="67">
        <v>5.2187499999999998E-2</v>
      </c>
      <c r="L54" s="68"/>
      <c r="M54" s="68">
        <v>2449000</v>
      </c>
      <c r="N54" s="68">
        <v>2300000</v>
      </c>
      <c r="O54" s="68">
        <v>1950000</v>
      </c>
      <c r="P54" s="69">
        <f t="shared" si="3"/>
        <v>1.255897435897436</v>
      </c>
      <c r="Q54" s="108">
        <v>5.1499999999999997E-2</v>
      </c>
      <c r="R54" s="56">
        <v>0</v>
      </c>
      <c r="S54" s="57">
        <v>0</v>
      </c>
      <c r="T54" s="57"/>
    </row>
    <row r="55" spans="1:20" ht="13.5" customHeight="1" x14ac:dyDescent="0.2">
      <c r="A55" s="109"/>
      <c r="B55" s="111"/>
      <c r="C55" s="64" t="s">
        <v>35</v>
      </c>
      <c r="D55" s="65">
        <v>44696</v>
      </c>
      <c r="E55" s="66">
        <v>7.0000000000000007E-2</v>
      </c>
      <c r="F55" s="66">
        <v>5.7500000000000002E-2</v>
      </c>
      <c r="G55" s="66">
        <v>5.9145700000000002E-2</v>
      </c>
      <c r="H55" s="66">
        <v>6.3125000000000001E-2</v>
      </c>
      <c r="I55" s="66">
        <v>5.7500000000000002E-2</v>
      </c>
      <c r="J55" s="67">
        <v>5.8697600000000003E-2</v>
      </c>
      <c r="K55" s="67">
        <v>5.9374999999999997E-2</v>
      </c>
      <c r="L55" s="68"/>
      <c r="M55" s="68">
        <v>3433000</v>
      </c>
      <c r="N55" s="68">
        <v>2050000</v>
      </c>
      <c r="O55" s="68">
        <v>2050000</v>
      </c>
      <c r="P55" s="69">
        <f t="shared" si="3"/>
        <v>1.6746341463414633</v>
      </c>
      <c r="Q55" s="108">
        <v>5.8700000000000002E-2</v>
      </c>
      <c r="R55" s="56">
        <v>0</v>
      </c>
      <c r="S55" s="57">
        <v>0</v>
      </c>
      <c r="T55" s="57"/>
    </row>
    <row r="56" spans="1:20" ht="13.5" customHeight="1" x14ac:dyDescent="0.2">
      <c r="A56" s="109"/>
      <c r="B56" s="111"/>
      <c r="C56" s="64" t="s">
        <v>32</v>
      </c>
      <c r="D56" s="65">
        <v>48380</v>
      </c>
      <c r="E56" s="66">
        <v>8.2500000000000004E-2</v>
      </c>
      <c r="F56" s="66">
        <v>6.5937499999999996E-2</v>
      </c>
      <c r="G56" s="66">
        <v>6.7572999999999994E-2</v>
      </c>
      <c r="H56" s="66">
        <v>6.9375000000000006E-2</v>
      </c>
      <c r="I56" s="66">
        <v>6.5937499999999996E-2</v>
      </c>
      <c r="J56" s="67">
        <v>6.7264900000000002E-2</v>
      </c>
      <c r="K56" s="67">
        <v>6.7812499999999998E-2</v>
      </c>
      <c r="L56" s="68"/>
      <c r="M56" s="68">
        <v>3017000</v>
      </c>
      <c r="N56" s="68">
        <v>2100000</v>
      </c>
      <c r="O56" s="68">
        <v>2050000</v>
      </c>
      <c r="P56" s="69">
        <v>4.6167499999999997</v>
      </c>
      <c r="Q56" s="108">
        <v>6.7299999999999999E-2</v>
      </c>
      <c r="R56" s="56">
        <v>1.9887751488813776E-3</v>
      </c>
      <c r="S56" s="57">
        <v>29293528.561597757</v>
      </c>
      <c r="T56" s="62"/>
    </row>
    <row r="57" spans="1:20" ht="13.5" customHeight="1" x14ac:dyDescent="0.2">
      <c r="A57" s="89">
        <v>40989</v>
      </c>
      <c r="B57" s="90">
        <v>40989</v>
      </c>
      <c r="C57" s="91" t="s">
        <v>61</v>
      </c>
      <c r="D57" s="92">
        <v>42815</v>
      </c>
      <c r="E57" s="94">
        <v>5.16E-2</v>
      </c>
      <c r="F57" s="94"/>
      <c r="G57" s="94"/>
      <c r="H57" s="94"/>
      <c r="I57" s="94"/>
      <c r="J57" s="94">
        <v>5.16E-2</v>
      </c>
      <c r="K57" s="95"/>
      <c r="L57" s="96">
        <v>8000000</v>
      </c>
      <c r="M57" s="96">
        <v>2000000</v>
      </c>
      <c r="N57" s="96">
        <v>2000000</v>
      </c>
      <c r="O57" s="96">
        <v>2000000</v>
      </c>
      <c r="P57" s="97">
        <f>M57/O57</f>
        <v>1</v>
      </c>
      <c r="Q57" s="98">
        <v>0.03</v>
      </c>
      <c r="R57" s="56"/>
      <c r="S57" s="57">
        <f>O57*J57/$R$10</f>
        <v>105751049.50865445</v>
      </c>
      <c r="T57" s="57"/>
    </row>
    <row r="58" spans="1:20" ht="13.5" customHeight="1" x14ac:dyDescent="0.2">
      <c r="A58" s="100"/>
      <c r="B58" s="99"/>
      <c r="C58" s="91" t="s">
        <v>62</v>
      </c>
      <c r="D58" s="92">
        <v>43545</v>
      </c>
      <c r="E58" s="94">
        <v>5.4600000000000003E-2</v>
      </c>
      <c r="F58" s="94"/>
      <c r="G58" s="94"/>
      <c r="H58" s="94"/>
      <c r="I58" s="94"/>
      <c r="J58" s="94">
        <v>5.4600000000000003E-2</v>
      </c>
      <c r="K58" s="95"/>
      <c r="L58" s="96"/>
      <c r="M58" s="96">
        <v>3000000</v>
      </c>
      <c r="N58" s="96">
        <v>3000000</v>
      </c>
      <c r="O58" s="96">
        <v>3000000</v>
      </c>
      <c r="P58" s="97">
        <f>M58/O58</f>
        <v>1</v>
      </c>
      <c r="Q58" s="98">
        <v>4.07E-2</v>
      </c>
      <c r="R58" s="56"/>
      <c r="S58" s="57"/>
      <c r="T58" s="57"/>
    </row>
    <row r="59" spans="1:20" ht="13.5" customHeight="1" x14ac:dyDescent="0.2">
      <c r="A59" s="100"/>
      <c r="B59" s="101"/>
      <c r="C59" s="91" t="s">
        <v>63</v>
      </c>
      <c r="D59" s="92">
        <v>44641</v>
      </c>
      <c r="E59" s="94">
        <v>5.91E-2</v>
      </c>
      <c r="F59" s="94"/>
      <c r="G59" s="94"/>
      <c r="H59" s="94"/>
      <c r="I59" s="94"/>
      <c r="J59" s="94">
        <v>5.91E-2</v>
      </c>
      <c r="K59" s="95"/>
      <c r="L59" s="96"/>
      <c r="M59" s="96">
        <v>3342000</v>
      </c>
      <c r="N59" s="96">
        <v>3342000</v>
      </c>
      <c r="O59" s="96">
        <v>3342000</v>
      </c>
      <c r="P59" s="97">
        <f>M59/O59</f>
        <v>1</v>
      </c>
      <c r="Q59" s="98">
        <v>4.8500000000000001E-2</v>
      </c>
      <c r="R59" s="56">
        <f>O59*J59/$O$39</f>
        <v>2.5650935064935068</v>
      </c>
      <c r="S59" s="57">
        <f>O59*J59/$R$10</f>
        <v>202394597.29421762</v>
      </c>
      <c r="T59" s="57"/>
    </row>
    <row r="60" spans="1:20" ht="13.5" customHeight="1" x14ac:dyDescent="0.2">
      <c r="A60" s="60">
        <v>40995</v>
      </c>
      <c r="B60" s="61">
        <v>40997</v>
      </c>
      <c r="C60" s="18" t="s">
        <v>48</v>
      </c>
      <c r="D60" s="19">
        <v>43146</v>
      </c>
      <c r="E60" s="104">
        <v>4.4499999999999998E-2</v>
      </c>
      <c r="F60" s="27">
        <v>5.8125000000000003E-2</v>
      </c>
      <c r="G60" s="27"/>
      <c r="H60" s="27">
        <v>6.5000000000000002E-2</v>
      </c>
      <c r="I60" s="27"/>
      <c r="J60" s="27"/>
      <c r="K60" s="28"/>
      <c r="L60" s="22">
        <v>1000000</v>
      </c>
      <c r="M60" s="22">
        <v>108000</v>
      </c>
      <c r="N60" s="22"/>
      <c r="O60" s="22"/>
      <c r="P60" s="46"/>
      <c r="Q60" s="56"/>
      <c r="R60" s="56"/>
      <c r="S60" s="57"/>
      <c r="T60" s="57"/>
    </row>
    <row r="61" spans="1:20" ht="13.5" customHeight="1" x14ac:dyDescent="0.2">
      <c r="A61" s="16"/>
      <c r="B61" s="17"/>
      <c r="C61" s="18" t="s">
        <v>49</v>
      </c>
      <c r="D61" s="19">
        <v>44576</v>
      </c>
      <c r="E61" s="104">
        <v>5.45E-2</v>
      </c>
      <c r="F61" s="27">
        <v>6.21875E-2</v>
      </c>
      <c r="G61" s="27"/>
      <c r="H61" s="27">
        <v>7.0000000000000007E-2</v>
      </c>
      <c r="I61" s="27"/>
      <c r="J61" s="28"/>
      <c r="K61" s="28"/>
      <c r="L61" s="22"/>
      <c r="M61" s="22">
        <v>483000</v>
      </c>
      <c r="N61" s="22"/>
      <c r="O61" s="22"/>
      <c r="P61" s="46"/>
      <c r="Q61" s="56"/>
      <c r="R61" s="56">
        <f>O61*J61/$O$218</f>
        <v>0</v>
      </c>
      <c r="S61" s="57">
        <f>O61*J61/$R$10</f>
        <v>0</v>
      </c>
      <c r="T61" s="57"/>
    </row>
    <row r="62" spans="1:20" ht="13.5" customHeight="1" x14ac:dyDescent="0.2">
      <c r="A62" s="16"/>
      <c r="B62" s="17"/>
      <c r="C62" s="18" t="s">
        <v>50</v>
      </c>
      <c r="D62" s="19">
        <v>46402</v>
      </c>
      <c r="E62" s="27">
        <v>0.06</v>
      </c>
      <c r="F62" s="27">
        <v>6.5312499999999996E-2</v>
      </c>
      <c r="G62" s="27"/>
      <c r="H62" s="27">
        <v>7.0937500000000001E-2</v>
      </c>
      <c r="I62" s="27"/>
      <c r="J62" s="28"/>
      <c r="K62" s="28"/>
      <c r="L62" s="22"/>
      <c r="M62" s="22">
        <v>801000</v>
      </c>
      <c r="N62" s="22"/>
      <c r="O62" s="22"/>
      <c r="P62" s="46"/>
      <c r="Q62" s="56"/>
      <c r="R62" s="56"/>
      <c r="S62" s="57"/>
      <c r="T62" s="57"/>
    </row>
    <row r="63" spans="1:20" ht="13.5" customHeight="1" x14ac:dyDescent="0.2">
      <c r="A63" s="16"/>
      <c r="B63" s="17"/>
      <c r="C63" s="18" t="s">
        <v>53</v>
      </c>
      <c r="D63" s="19">
        <v>50086</v>
      </c>
      <c r="E63" s="27">
        <v>6.0999999999999999E-2</v>
      </c>
      <c r="F63" s="27">
        <v>6.8125000000000005E-2</v>
      </c>
      <c r="G63" s="27"/>
      <c r="H63" s="27">
        <v>7.2499999999999995E-2</v>
      </c>
      <c r="I63" s="27"/>
      <c r="J63" s="28">
        <v>6.9596500000000006E-2</v>
      </c>
      <c r="K63" s="28"/>
      <c r="L63" s="22"/>
      <c r="M63" s="22">
        <v>792000</v>
      </c>
      <c r="N63" s="22"/>
      <c r="O63" s="22">
        <v>355000</v>
      </c>
      <c r="P63" s="46">
        <f>M63/O63</f>
        <v>2.2309859154929579</v>
      </c>
      <c r="Q63" s="108">
        <v>6.7299999999999999E-2</v>
      </c>
      <c r="R63" s="56">
        <f>O63*J63/$O$218</f>
        <v>9.2001320300979657E-5</v>
      </c>
      <c r="S63" s="57">
        <f>O63*J63/$R$10</f>
        <v>25317495.499814145</v>
      </c>
      <c r="T63" s="57"/>
    </row>
    <row r="64" spans="1:20" ht="13.5" customHeight="1" x14ac:dyDescent="0.2">
      <c r="A64" s="89">
        <v>41002</v>
      </c>
      <c r="B64" s="90">
        <v>41004</v>
      </c>
      <c r="C64" s="91" t="s">
        <v>64</v>
      </c>
      <c r="D64" s="92">
        <v>41368</v>
      </c>
      <c r="E64" s="94">
        <v>0</v>
      </c>
      <c r="F64" s="94">
        <v>3.875E-2</v>
      </c>
      <c r="G64" s="94">
        <v>4.1736099999999998E-2</v>
      </c>
      <c r="H64" s="94">
        <v>4.4999999999999998E-2</v>
      </c>
      <c r="I64" s="94">
        <v>3.875E-2</v>
      </c>
      <c r="J64" s="94">
        <v>3.9166699999999999E-2</v>
      </c>
      <c r="K64" s="95">
        <v>3.9375E-2</v>
      </c>
      <c r="L64" s="96">
        <v>6000000</v>
      </c>
      <c r="M64" s="96">
        <v>6100000</v>
      </c>
      <c r="N64" s="96">
        <v>1300000</v>
      </c>
      <c r="O64" s="96">
        <v>1000000</v>
      </c>
      <c r="P64" s="97">
        <f>M64/O64</f>
        <v>6.1</v>
      </c>
      <c r="Q64" s="98">
        <v>3.95E-2</v>
      </c>
      <c r="R64" s="56"/>
      <c r="S64" s="57">
        <f>O64*J64/$R$10</f>
        <v>40134880.14331992</v>
      </c>
      <c r="T64" s="57"/>
    </row>
    <row r="65" spans="1:23" ht="13.5" customHeight="1" x14ac:dyDescent="0.2">
      <c r="A65" s="89"/>
      <c r="B65" s="90"/>
      <c r="C65" s="91" t="s">
        <v>35</v>
      </c>
      <c r="D65" s="92">
        <v>44696</v>
      </c>
      <c r="E65" s="94">
        <v>7.0000000000000007E-2</v>
      </c>
      <c r="F65" s="94">
        <v>5.7812500000000003E-2</v>
      </c>
      <c r="G65" s="94">
        <v>5.89077E-2</v>
      </c>
      <c r="H65" s="94">
        <v>6.1874999999999999E-2</v>
      </c>
      <c r="I65" s="94">
        <v>5.7812500000000003E-2</v>
      </c>
      <c r="J65" s="94">
        <v>5.86992E-2</v>
      </c>
      <c r="K65" s="95">
        <v>5.9062499999999997E-2</v>
      </c>
      <c r="L65" s="96"/>
      <c r="M65" s="96">
        <v>4188000</v>
      </c>
      <c r="N65" s="96">
        <v>3300000</v>
      </c>
      <c r="O65" s="96">
        <v>3300000</v>
      </c>
      <c r="P65" s="97">
        <f>M65/O65</f>
        <v>1.269090909090909</v>
      </c>
      <c r="Q65" s="98">
        <v>5.8700000000000002E-2</v>
      </c>
      <c r="R65" s="56"/>
      <c r="S65" s="57"/>
      <c r="T65" s="57"/>
    </row>
    <row r="66" spans="1:23" ht="13.5" customHeight="1" x14ac:dyDescent="0.2">
      <c r="A66" s="89"/>
      <c r="B66" s="90"/>
      <c r="C66" s="91" t="s">
        <v>43</v>
      </c>
      <c r="D66" s="92">
        <v>46522</v>
      </c>
      <c r="E66" s="94">
        <v>7.0000000000000007E-2</v>
      </c>
      <c r="F66" s="94">
        <v>6.21875E-2</v>
      </c>
      <c r="G66" s="94">
        <v>6.3441600000000001E-2</v>
      </c>
      <c r="H66" s="94">
        <v>6.5000000000000002E-2</v>
      </c>
      <c r="I66" s="94">
        <v>6.21875E-2</v>
      </c>
      <c r="J66" s="94">
        <v>6.3199099999999994E-2</v>
      </c>
      <c r="K66" s="95">
        <v>6.3437499999999994E-2</v>
      </c>
      <c r="L66" s="96"/>
      <c r="M66" s="96">
        <v>4009000</v>
      </c>
      <c r="N66" s="96">
        <v>2700000</v>
      </c>
      <c r="O66" s="96">
        <v>2700000</v>
      </c>
      <c r="P66" s="97">
        <f t="shared" ref="P66:P72" si="4">M66/O66</f>
        <v>1.4848148148148148</v>
      </c>
      <c r="Q66" s="98">
        <v>6.3200000000000006E-2</v>
      </c>
      <c r="R66" s="56" t="e">
        <f>O66*J66/$O$43</f>
        <v>#DIV/0!</v>
      </c>
      <c r="S66" s="57">
        <f>O66*J66/$R$10</f>
        <v>174855640.63087681</v>
      </c>
      <c r="T66" s="57"/>
    </row>
    <row r="67" spans="1:23" ht="13.5" customHeight="1" x14ac:dyDescent="0.2">
      <c r="A67" s="89"/>
      <c r="B67" s="90"/>
      <c r="C67" s="91" t="s">
        <v>32</v>
      </c>
      <c r="D67" s="92">
        <v>48380</v>
      </c>
      <c r="E67" s="94">
        <v>8.2500000000000004E-2</v>
      </c>
      <c r="F67" s="94">
        <v>6.6562499999999997E-2</v>
      </c>
      <c r="G67" s="94">
        <v>6.7594600000000005E-2</v>
      </c>
      <c r="H67" s="94">
        <v>7.0000000000000007E-2</v>
      </c>
      <c r="I67" s="94">
        <v>6.6562499999999997E-2</v>
      </c>
      <c r="J67" s="94">
        <v>6.7283399999999993E-2</v>
      </c>
      <c r="K67" s="95">
        <v>6.7500000000000004E-2</v>
      </c>
      <c r="L67" s="96"/>
      <c r="M67" s="96">
        <v>5192000</v>
      </c>
      <c r="N67" s="96">
        <v>2150000</v>
      </c>
      <c r="O67" s="96">
        <v>2000000</v>
      </c>
      <c r="P67" s="97">
        <f t="shared" si="4"/>
        <v>2.5960000000000001</v>
      </c>
      <c r="Q67" s="98">
        <v>6.7299999999999999E-2</v>
      </c>
      <c r="R67" s="56" t="e">
        <f>O67*J67/$O$43</f>
        <v>#DIV/0!</v>
      </c>
      <c r="S67" s="57">
        <f>O67*J67/$R$10</f>
        <v>137893220.24245349</v>
      </c>
      <c r="T67" s="57"/>
    </row>
    <row r="68" spans="1:23" ht="13.5" customHeight="1" x14ac:dyDescent="0.2">
      <c r="A68" s="60">
        <v>41009</v>
      </c>
      <c r="B68" s="61">
        <v>41011</v>
      </c>
      <c r="C68" s="18" t="s">
        <v>65</v>
      </c>
      <c r="D68" s="19">
        <v>41193</v>
      </c>
      <c r="E68" s="104">
        <v>0</v>
      </c>
      <c r="F68" s="27">
        <v>3.7812499999999999E-2</v>
      </c>
      <c r="G68" s="27"/>
      <c r="H68" s="27">
        <v>4.7500000000000001E-2</v>
      </c>
      <c r="I68" s="27"/>
      <c r="J68" s="27"/>
      <c r="K68" s="28"/>
      <c r="L68" s="22">
        <v>1000000</v>
      </c>
      <c r="M68" s="22">
        <v>2451000</v>
      </c>
      <c r="N68" s="22"/>
      <c r="O68" s="22">
        <v>0</v>
      </c>
      <c r="P68" s="97" t="e">
        <f t="shared" si="4"/>
        <v>#DIV/0!</v>
      </c>
      <c r="Q68" s="56"/>
      <c r="R68" s="56"/>
      <c r="S68" s="57">
        <f>O68*J68/$R$10</f>
        <v>0</v>
      </c>
      <c r="T68" s="57"/>
    </row>
    <row r="69" spans="1:23" ht="13.5" customHeight="1" x14ac:dyDescent="0.2">
      <c r="A69" s="16"/>
      <c r="B69" s="17"/>
      <c r="C69" s="18" t="s">
        <v>48</v>
      </c>
      <c r="D69" s="19">
        <v>43146</v>
      </c>
      <c r="E69" s="104">
        <v>4.4499999999999998E-2</v>
      </c>
      <c r="F69" s="27">
        <v>5.3124999999999999E-2</v>
      </c>
      <c r="G69" s="27"/>
      <c r="H69" s="27">
        <v>6.5000000000000002E-2</v>
      </c>
      <c r="I69" s="27"/>
      <c r="J69" s="28">
        <v>5.3124999999999999E-2</v>
      </c>
      <c r="K69" s="28"/>
      <c r="L69" s="22"/>
      <c r="M69" s="22">
        <v>2171000</v>
      </c>
      <c r="N69" s="22"/>
      <c r="O69" s="22">
        <v>1000000</v>
      </c>
      <c r="P69" s="97">
        <f t="shared" si="4"/>
        <v>2.1709999999999998</v>
      </c>
      <c r="Q69" s="56"/>
      <c r="R69" s="56"/>
      <c r="S69" s="57"/>
      <c r="T69" s="57"/>
    </row>
    <row r="70" spans="1:23" ht="13.5" customHeight="1" x14ac:dyDescent="0.2">
      <c r="A70" s="16"/>
      <c r="B70" s="17"/>
      <c r="C70" s="18" t="s">
        <v>49</v>
      </c>
      <c r="D70" s="19">
        <v>44576</v>
      </c>
      <c r="E70" s="104">
        <v>5.45E-2</v>
      </c>
      <c r="F70" s="27">
        <v>6.0937499999999999E-2</v>
      </c>
      <c r="G70" s="27"/>
      <c r="H70" s="27">
        <v>7.0000000000000007E-2</v>
      </c>
      <c r="I70" s="27"/>
      <c r="J70" s="28">
        <v>6.1093799999999997E-2</v>
      </c>
      <c r="K70" s="28"/>
      <c r="L70" s="22"/>
      <c r="M70" s="22">
        <v>466000</v>
      </c>
      <c r="N70" s="22"/>
      <c r="O70" s="22">
        <v>100000</v>
      </c>
      <c r="P70" s="97">
        <f t="shared" si="4"/>
        <v>4.66</v>
      </c>
      <c r="Q70" s="56"/>
      <c r="R70" s="56" t="e">
        <f>O70*J70/$O$43</f>
        <v>#DIV/0!</v>
      </c>
      <c r="S70" s="57">
        <f>O70*J70/$R$10</f>
        <v>6260400.6477440242</v>
      </c>
      <c r="T70" s="57"/>
    </row>
    <row r="71" spans="1:23" ht="13.5" customHeight="1" x14ac:dyDescent="0.2">
      <c r="A71" s="16"/>
      <c r="B71" s="17"/>
      <c r="C71" s="18" t="s">
        <v>50</v>
      </c>
      <c r="D71" s="19">
        <v>46402</v>
      </c>
      <c r="E71" s="27">
        <v>0.06</v>
      </c>
      <c r="F71" s="27">
        <v>6.5312499999999996E-2</v>
      </c>
      <c r="G71" s="27"/>
      <c r="H71" s="27">
        <v>7.4999999999999997E-2</v>
      </c>
      <c r="I71" s="27"/>
      <c r="J71" s="28">
        <v>6.5312499999999996E-2</v>
      </c>
      <c r="K71" s="28"/>
      <c r="L71" s="22"/>
      <c r="M71" s="22">
        <v>1341000</v>
      </c>
      <c r="N71" s="22"/>
      <c r="O71" s="22">
        <v>550000</v>
      </c>
      <c r="P71" s="97">
        <f t="shared" si="4"/>
        <v>2.438181818181818</v>
      </c>
      <c r="Q71" s="108"/>
      <c r="R71" s="56" t="e">
        <f>O71*J71/$O$43</f>
        <v>#DIV/0!</v>
      </c>
      <c r="S71" s="57">
        <f>O71*J71/$R$10</f>
        <v>36809844.782642402</v>
      </c>
      <c r="T71" s="57"/>
    </row>
    <row r="72" spans="1:23" ht="13.5" customHeight="1" x14ac:dyDescent="0.2">
      <c r="A72" s="16"/>
      <c r="B72" s="17"/>
      <c r="C72" s="18" t="s">
        <v>53</v>
      </c>
      <c r="D72" s="19">
        <v>50086</v>
      </c>
      <c r="E72" s="27">
        <v>6.0999999999999999E-2</v>
      </c>
      <c r="F72" s="27">
        <v>6.8750000000000006E-2</v>
      </c>
      <c r="G72" s="27"/>
      <c r="H72" s="27">
        <v>0.08</v>
      </c>
      <c r="I72" s="27"/>
      <c r="J72" s="28">
        <v>6.9043400000000005E-2</v>
      </c>
      <c r="K72" s="28"/>
      <c r="L72" s="22"/>
      <c r="M72" s="22">
        <v>639000</v>
      </c>
      <c r="N72" s="22"/>
      <c r="O72" s="22">
        <v>250000</v>
      </c>
      <c r="P72" s="97">
        <f t="shared" si="4"/>
        <v>2.556</v>
      </c>
      <c r="Q72" s="108"/>
      <c r="R72" s="56" t="e">
        <f>O72*J72/$O$43</f>
        <v>#DIV/0!</v>
      </c>
      <c r="S72" s="57">
        <f>O72*J72/$R$10</f>
        <v>17687529.097979248</v>
      </c>
      <c r="T72" s="57"/>
    </row>
    <row r="73" spans="1:23" ht="13.5" customHeight="1" x14ac:dyDescent="0.2">
      <c r="A73" s="89">
        <v>41016</v>
      </c>
      <c r="B73" s="89">
        <v>41018</v>
      </c>
      <c r="C73" s="91" t="s">
        <v>66</v>
      </c>
      <c r="D73" s="92">
        <v>41108</v>
      </c>
      <c r="E73" s="93">
        <v>0</v>
      </c>
      <c r="F73" s="94">
        <v>3.15625E-2</v>
      </c>
      <c r="G73" s="94">
        <v>3.7930400000000003E-2</v>
      </c>
      <c r="H73" s="94">
        <v>4.4999999999999998E-2</v>
      </c>
      <c r="I73" s="94">
        <v>3.15625E-2</v>
      </c>
      <c r="J73" s="95">
        <v>3.3057299999999998E-2</v>
      </c>
      <c r="K73" s="95">
        <v>3.3437500000000002E-2</v>
      </c>
      <c r="L73" s="96">
        <v>6000000</v>
      </c>
      <c r="M73" s="96">
        <v>2080000</v>
      </c>
      <c r="N73" s="96">
        <v>300000</v>
      </c>
      <c r="O73" s="96">
        <v>300000</v>
      </c>
      <c r="P73" s="97">
        <f>M73/O73</f>
        <v>6.9333333333333336</v>
      </c>
      <c r="Q73" s="98">
        <v>3.3099999999999997E-2</v>
      </c>
      <c r="R73" s="56"/>
      <c r="S73" s="57">
        <f>O73*J73/$R$10</f>
        <v>10162337.700355936</v>
      </c>
      <c r="T73" s="57"/>
    </row>
    <row r="74" spans="1:23" ht="13.5" customHeight="1" x14ac:dyDescent="0.2">
      <c r="A74" s="100"/>
      <c r="B74" s="99"/>
      <c r="C74" s="91" t="s">
        <v>67</v>
      </c>
      <c r="D74" s="92">
        <v>41368</v>
      </c>
      <c r="E74" s="93">
        <v>0</v>
      </c>
      <c r="F74" s="94">
        <v>3.875E-2</v>
      </c>
      <c r="G74" s="94">
        <v>4.0850999999999998E-2</v>
      </c>
      <c r="H74" s="94">
        <v>4.7500000000000001E-2</v>
      </c>
      <c r="I74" s="94">
        <v>3.875E-2</v>
      </c>
      <c r="J74" s="95">
        <v>3.95E-2</v>
      </c>
      <c r="K74" s="95">
        <v>0.04</v>
      </c>
      <c r="L74" s="96"/>
      <c r="M74" s="96">
        <v>4150000</v>
      </c>
      <c r="N74" s="96">
        <v>1900000</v>
      </c>
      <c r="O74" s="96">
        <v>1900000</v>
      </c>
      <c r="P74" s="97">
        <f>M74/O74</f>
        <v>2.1842105263157894</v>
      </c>
      <c r="Q74" s="98">
        <v>3.95E-2</v>
      </c>
      <c r="R74" s="56"/>
      <c r="S74" s="57"/>
      <c r="T74" s="57"/>
    </row>
    <row r="75" spans="1:23" ht="13.5" customHeight="1" x14ac:dyDescent="0.2">
      <c r="A75" s="100"/>
      <c r="B75" s="101"/>
      <c r="C75" s="91" t="s">
        <v>35</v>
      </c>
      <c r="D75" s="92">
        <v>44696</v>
      </c>
      <c r="E75" s="94">
        <v>7.0000000000000007E-2</v>
      </c>
      <c r="F75" s="94">
        <v>6.0937499999999999E-2</v>
      </c>
      <c r="G75" s="94">
        <v>6.21383E-2</v>
      </c>
      <c r="H75" s="94">
        <v>6.5000000000000002E-2</v>
      </c>
      <c r="I75" s="94"/>
      <c r="J75" s="95"/>
      <c r="K75" s="95"/>
      <c r="L75" s="96"/>
      <c r="M75" s="96">
        <v>3225000</v>
      </c>
      <c r="N75" s="96">
        <v>0</v>
      </c>
      <c r="O75" s="96">
        <v>0</v>
      </c>
      <c r="P75" s="97"/>
      <c r="Q75" s="98">
        <v>6.0999999999999999E-2</v>
      </c>
      <c r="R75" s="56">
        <v>0</v>
      </c>
      <c r="S75" s="57">
        <v>0</v>
      </c>
      <c r="T75" s="57"/>
    </row>
    <row r="76" spans="1:23" ht="13.5" customHeight="1" x14ac:dyDescent="0.2">
      <c r="A76" s="100"/>
      <c r="B76" s="101"/>
      <c r="C76" s="91" t="s">
        <v>43</v>
      </c>
      <c r="D76" s="92">
        <v>46522</v>
      </c>
      <c r="E76" s="94">
        <v>7.0000000000000007E-2</v>
      </c>
      <c r="F76" s="94">
        <v>6.5625000000000003E-2</v>
      </c>
      <c r="G76" s="94">
        <v>6.5997700000000006E-2</v>
      </c>
      <c r="H76" s="94">
        <v>6.7500000000000004E-2</v>
      </c>
      <c r="I76" s="94"/>
      <c r="J76" s="95"/>
      <c r="K76" s="95"/>
      <c r="L76" s="96"/>
      <c r="M76" s="96">
        <v>3020000</v>
      </c>
      <c r="N76" s="96">
        <v>0</v>
      </c>
      <c r="O76" s="96">
        <v>0</v>
      </c>
      <c r="P76" s="97"/>
      <c r="Q76" s="98">
        <v>6.4699999999999994E-2</v>
      </c>
      <c r="R76" s="56">
        <v>0</v>
      </c>
      <c r="S76" s="57">
        <v>0</v>
      </c>
      <c r="T76" s="57"/>
    </row>
    <row r="77" spans="1:23" ht="13.5" customHeight="1" x14ac:dyDescent="0.2">
      <c r="A77" s="100"/>
      <c r="B77" s="101"/>
      <c r="C77" s="91" t="s">
        <v>32</v>
      </c>
      <c r="D77" s="92">
        <v>48380</v>
      </c>
      <c r="E77" s="94">
        <v>8.2500000000000004E-2</v>
      </c>
      <c r="F77" s="94">
        <v>6.9062499999999999E-2</v>
      </c>
      <c r="G77" s="94">
        <v>6.9961999999999996E-2</v>
      </c>
      <c r="H77" s="94">
        <v>7.2499999999999995E-2</v>
      </c>
      <c r="I77" s="94"/>
      <c r="J77" s="95"/>
      <c r="K77" s="95"/>
      <c r="L77" s="96"/>
      <c r="M77" s="96">
        <v>2362000</v>
      </c>
      <c r="N77" s="96">
        <v>0</v>
      </c>
      <c r="O77" s="96">
        <v>0</v>
      </c>
      <c r="P77" s="97"/>
      <c r="Q77" s="98">
        <v>6.8500000000000005E-2</v>
      </c>
      <c r="R77" s="56">
        <v>1.9887751488813776E-3</v>
      </c>
      <c r="S77" s="57">
        <v>29293528.561597757</v>
      </c>
      <c r="T77" s="62"/>
    </row>
    <row r="78" spans="1:23" s="71" customFormat="1" ht="13.5" customHeight="1" x14ac:dyDescent="0.2">
      <c r="A78" s="462">
        <v>41016</v>
      </c>
      <c r="B78" s="464">
        <v>41024</v>
      </c>
      <c r="C78" s="77" t="s">
        <v>68</v>
      </c>
      <c r="D78" s="78">
        <v>44676</v>
      </c>
      <c r="E78" s="79">
        <v>3.7499999999999999E-2</v>
      </c>
      <c r="F78" s="80"/>
      <c r="G78" s="80"/>
      <c r="H78" s="80"/>
      <c r="I78" s="80"/>
      <c r="J78" s="81"/>
      <c r="K78" s="81"/>
      <c r="L78" s="113">
        <v>20000000</v>
      </c>
      <c r="M78" s="83" t="s">
        <v>71</v>
      </c>
      <c r="N78" s="83" t="s">
        <v>69</v>
      </c>
      <c r="O78" s="83" t="s">
        <v>69</v>
      </c>
      <c r="P78" s="112"/>
      <c r="Q78" s="85"/>
      <c r="R78" s="56"/>
      <c r="U78" s="71">
        <f>U79*5900</f>
        <v>54221000</v>
      </c>
      <c r="V78" s="71">
        <f>U79*2000</f>
        <v>18380000</v>
      </c>
      <c r="W78" s="71">
        <f>U79*2000</f>
        <v>18380000</v>
      </c>
    </row>
    <row r="79" spans="1:23" s="71" customFormat="1" ht="13.5" customHeight="1" x14ac:dyDescent="0.2">
      <c r="A79" s="463"/>
      <c r="B79" s="465"/>
      <c r="C79" s="64"/>
      <c r="D79" s="65"/>
      <c r="E79" s="75"/>
      <c r="F79" s="66"/>
      <c r="G79" s="66"/>
      <c r="H79" s="66"/>
      <c r="I79" s="66"/>
      <c r="J79" s="67"/>
      <c r="K79" s="114"/>
      <c r="L79" s="167"/>
      <c r="M79" s="68">
        <f>U78</f>
        <v>54221000</v>
      </c>
      <c r="N79" s="68">
        <f>V78</f>
        <v>18380000</v>
      </c>
      <c r="O79" s="68">
        <f>W78</f>
        <v>18380000</v>
      </c>
      <c r="P79" s="69">
        <f>M79/O79</f>
        <v>2.95</v>
      </c>
      <c r="Q79" s="70"/>
      <c r="R79" s="56">
        <f>O79*J79/$O$52</f>
        <v>0</v>
      </c>
      <c r="U79" s="71">
        <v>9190</v>
      </c>
    </row>
    <row r="80" spans="1:23" s="71" customFormat="1" ht="13.5" customHeight="1" x14ac:dyDescent="0.2">
      <c r="A80" s="463"/>
      <c r="B80" s="465"/>
      <c r="C80" s="77" t="s">
        <v>39</v>
      </c>
      <c r="D80" s="78">
        <v>51883</v>
      </c>
      <c r="E80" s="79">
        <v>5.2499999999999998E-2</v>
      </c>
      <c r="F80" s="80"/>
      <c r="G80" s="80"/>
      <c r="H80" s="80"/>
      <c r="I80" s="80"/>
      <c r="J80" s="81"/>
      <c r="K80" s="115"/>
      <c r="L80" s="167"/>
      <c r="M80" s="83" t="s">
        <v>69</v>
      </c>
      <c r="N80" s="83" t="s">
        <v>41</v>
      </c>
      <c r="O80" s="83" t="s">
        <v>70</v>
      </c>
      <c r="P80" s="84"/>
      <c r="Q80" s="85"/>
      <c r="R80" s="56"/>
      <c r="U80" s="71">
        <f>U81*2000</f>
        <v>18380000</v>
      </c>
      <c r="V80" s="71">
        <f>U81*500</f>
        <v>4595000</v>
      </c>
      <c r="W80" s="71">
        <f>U81*500</f>
        <v>4595000</v>
      </c>
    </row>
    <row r="81" spans="1:21" s="71" customFormat="1" ht="13.5" customHeight="1" x14ac:dyDescent="0.2">
      <c r="A81" s="463"/>
      <c r="B81" s="465"/>
      <c r="C81" s="64"/>
      <c r="D81" s="65"/>
      <c r="E81" s="75"/>
      <c r="F81" s="66"/>
      <c r="G81" s="66"/>
      <c r="H81" s="66"/>
      <c r="I81" s="66"/>
      <c r="J81" s="67"/>
      <c r="K81" s="114"/>
      <c r="L81" s="167"/>
      <c r="M81" s="68">
        <f>U80</f>
        <v>18380000</v>
      </c>
      <c r="N81" s="68">
        <f>V80</f>
        <v>4595000</v>
      </c>
      <c r="O81" s="68">
        <f>W80</f>
        <v>4595000</v>
      </c>
      <c r="P81" s="69">
        <f t="shared" ref="P81:P97" si="5">M81/O81</f>
        <v>4</v>
      </c>
      <c r="Q81" s="70"/>
      <c r="R81" s="56">
        <f>O81*J81/$O$52</f>
        <v>0</v>
      </c>
      <c r="U81" s="71">
        <v>9190</v>
      </c>
    </row>
    <row r="82" spans="1:21" ht="13.5" customHeight="1" x14ac:dyDescent="0.2">
      <c r="A82" s="89">
        <v>41023</v>
      </c>
      <c r="B82" s="89">
        <v>41026</v>
      </c>
      <c r="C82" s="125" t="s">
        <v>48</v>
      </c>
      <c r="D82" s="126">
        <v>43146</v>
      </c>
      <c r="E82" s="128">
        <v>4.4499999999999998E-2</v>
      </c>
      <c r="F82" s="128">
        <v>5.3124999999999999E-2</v>
      </c>
      <c r="G82" s="128"/>
      <c r="H82" s="128">
        <v>6.25E-2</v>
      </c>
      <c r="I82" s="128"/>
      <c r="J82" s="129">
        <v>5.3124999999999999E-2</v>
      </c>
      <c r="K82" s="129"/>
      <c r="L82" s="130">
        <v>1000000</v>
      </c>
      <c r="M82" s="130">
        <v>2674000</v>
      </c>
      <c r="N82" s="130"/>
      <c r="O82" s="130">
        <v>1500000</v>
      </c>
      <c r="P82" s="131">
        <f t="shared" si="5"/>
        <v>1.7826666666666666</v>
      </c>
      <c r="Q82" s="132"/>
      <c r="R82" s="56"/>
      <c r="S82" s="57"/>
      <c r="T82" s="57"/>
    </row>
    <row r="83" spans="1:21" ht="13.5" customHeight="1" x14ac:dyDescent="0.2">
      <c r="A83" s="89"/>
      <c r="B83" s="89"/>
      <c r="C83" s="91" t="s">
        <v>49</v>
      </c>
      <c r="D83" s="92">
        <v>44576</v>
      </c>
      <c r="E83" s="94">
        <v>5.45E-2</v>
      </c>
      <c r="F83" s="94">
        <v>6.1562499999999999E-2</v>
      </c>
      <c r="G83" s="94"/>
      <c r="H83" s="94">
        <v>6.7500000000000004E-2</v>
      </c>
      <c r="I83" s="94"/>
      <c r="J83" s="95"/>
      <c r="K83" s="95"/>
      <c r="L83" s="96"/>
      <c r="M83" s="96">
        <v>441000</v>
      </c>
      <c r="N83" s="96"/>
      <c r="O83" s="96">
        <v>0</v>
      </c>
      <c r="P83" s="97" t="e">
        <f t="shared" si="5"/>
        <v>#DIV/0!</v>
      </c>
      <c r="Q83" s="98"/>
      <c r="R83" s="56" t="e">
        <f>O83*J83/$O$43</f>
        <v>#DIV/0!</v>
      </c>
      <c r="S83" s="57">
        <f>O83*J83/$R$10</f>
        <v>0</v>
      </c>
      <c r="T83" s="57"/>
    </row>
    <row r="84" spans="1:21" ht="13.5" customHeight="1" x14ac:dyDescent="0.2">
      <c r="A84" s="100"/>
      <c r="B84" s="99"/>
      <c r="C84" s="91" t="s">
        <v>50</v>
      </c>
      <c r="D84" s="92">
        <v>46402</v>
      </c>
      <c r="E84" s="94">
        <v>0.06</v>
      </c>
      <c r="F84" s="94">
        <v>6.5000000000000002E-2</v>
      </c>
      <c r="G84" s="94"/>
      <c r="H84" s="94">
        <v>7.0000000000000007E-2</v>
      </c>
      <c r="I84" s="94"/>
      <c r="J84" s="95">
        <v>6.5302399999999997E-2</v>
      </c>
      <c r="K84" s="95"/>
      <c r="L84" s="96"/>
      <c r="M84" s="96">
        <v>841000</v>
      </c>
      <c r="N84" s="96"/>
      <c r="O84" s="96">
        <v>320000</v>
      </c>
      <c r="P84" s="97">
        <f t="shared" si="5"/>
        <v>2.6281249999999998</v>
      </c>
      <c r="Q84" s="98"/>
      <c r="R84" s="56" t="e">
        <f>O84*J84/$O$43</f>
        <v>#DIV/0!</v>
      </c>
      <c r="S84" s="57">
        <f>O84*J84/$R$10</f>
        <v>21413325.071113043</v>
      </c>
      <c r="T84" s="57"/>
    </row>
    <row r="85" spans="1:21" ht="13.5" customHeight="1" x14ac:dyDescent="0.2">
      <c r="A85" s="143"/>
      <c r="B85" s="144"/>
      <c r="C85" s="145" t="s">
        <v>53</v>
      </c>
      <c r="D85" s="146">
        <v>50086</v>
      </c>
      <c r="E85" s="147">
        <v>6.0999999999999999E-2</v>
      </c>
      <c r="F85" s="147">
        <v>6.906255E-2</v>
      </c>
      <c r="G85" s="147"/>
      <c r="H85" s="147">
        <v>7.2499999999999995E-2</v>
      </c>
      <c r="I85" s="147"/>
      <c r="J85" s="148"/>
      <c r="K85" s="148"/>
      <c r="L85" s="149"/>
      <c r="M85" s="149">
        <v>235000</v>
      </c>
      <c r="N85" s="149"/>
      <c r="O85" s="149">
        <v>0</v>
      </c>
      <c r="P85" s="150" t="e">
        <f t="shared" si="5"/>
        <v>#DIV/0!</v>
      </c>
      <c r="Q85" s="151"/>
      <c r="R85" s="56" t="e">
        <f>O85*J85/$O$43</f>
        <v>#DIV/0!</v>
      </c>
      <c r="S85" s="57">
        <f>O85*J85/$R$10</f>
        <v>0</v>
      </c>
      <c r="T85" s="57"/>
    </row>
    <row r="86" spans="1:21" s="123" customFormat="1" ht="13.5" customHeight="1" x14ac:dyDescent="0.2">
      <c r="A86" s="124">
        <v>41026</v>
      </c>
      <c r="B86" s="124">
        <v>41026</v>
      </c>
      <c r="C86" s="125" t="s">
        <v>74</v>
      </c>
      <c r="D86" s="126">
        <v>42487</v>
      </c>
      <c r="E86" s="127">
        <v>5.0299999999999997E-2</v>
      </c>
      <c r="F86" s="128"/>
      <c r="G86" s="128"/>
      <c r="H86" s="128"/>
      <c r="I86" s="128"/>
      <c r="J86" s="129">
        <v>5.0299999999999997E-2</v>
      </c>
      <c r="K86" s="129"/>
      <c r="L86" s="130">
        <v>2500000</v>
      </c>
      <c r="M86" s="130">
        <v>1000000</v>
      </c>
      <c r="N86" s="130">
        <v>1000000</v>
      </c>
      <c r="O86" s="130">
        <v>1000000</v>
      </c>
      <c r="P86" s="131">
        <f t="shared" si="5"/>
        <v>1</v>
      </c>
      <c r="Q86" s="132"/>
      <c r="R86" s="121"/>
      <c r="S86" s="122">
        <f>O86*J86/$R$10</f>
        <v>51543389.440749206</v>
      </c>
      <c r="T86" s="122"/>
    </row>
    <row r="87" spans="1:21" s="123" customFormat="1" ht="13.5" customHeight="1" x14ac:dyDescent="0.2">
      <c r="A87" s="133"/>
      <c r="B87" s="134"/>
      <c r="C87" s="135" t="s">
        <v>75</v>
      </c>
      <c r="D87" s="136">
        <v>43948</v>
      </c>
      <c r="E87" s="137">
        <v>5.79E-2</v>
      </c>
      <c r="F87" s="138"/>
      <c r="G87" s="138"/>
      <c r="H87" s="138"/>
      <c r="I87" s="138"/>
      <c r="J87" s="139">
        <v>5.79E-2</v>
      </c>
      <c r="K87" s="139"/>
      <c r="L87" s="140"/>
      <c r="M87" s="140">
        <v>1500000</v>
      </c>
      <c r="N87" s="140">
        <v>1500000</v>
      </c>
      <c r="O87" s="140">
        <v>1500000</v>
      </c>
      <c r="P87" s="141">
        <f t="shared" si="5"/>
        <v>1</v>
      </c>
      <c r="Q87" s="142"/>
      <c r="R87" s="121"/>
      <c r="S87" s="122"/>
      <c r="T87" s="122"/>
    </row>
    <row r="88" spans="1:21" ht="13.5" customHeight="1" x14ac:dyDescent="0.2">
      <c r="A88" s="89">
        <v>41031</v>
      </c>
      <c r="B88" s="89">
        <v>41033</v>
      </c>
      <c r="C88" s="91" t="s">
        <v>78</v>
      </c>
      <c r="D88" s="92">
        <v>41396</v>
      </c>
      <c r="E88" s="93">
        <v>0</v>
      </c>
      <c r="F88" s="94">
        <v>0.04</v>
      </c>
      <c r="G88" s="94">
        <v>4.0236899999999999E-2</v>
      </c>
      <c r="H88" s="94">
        <v>4.4999999999999998E-2</v>
      </c>
      <c r="I88" s="94">
        <v>0.04</v>
      </c>
      <c r="J88" s="95">
        <v>4.0468799999999999E-2</v>
      </c>
      <c r="K88" s="95">
        <v>4.0625000000000001E-2</v>
      </c>
      <c r="L88" s="96">
        <v>6000000</v>
      </c>
      <c r="M88" s="96">
        <v>3550000</v>
      </c>
      <c r="N88" s="96">
        <v>900000</v>
      </c>
      <c r="O88" s="96">
        <v>900000</v>
      </c>
      <c r="P88" s="97">
        <f t="shared" si="5"/>
        <v>3.9444444444444446</v>
      </c>
      <c r="Q88" s="98">
        <v>4.0500000000000001E-2</v>
      </c>
      <c r="R88" s="56"/>
      <c r="S88" s="57">
        <f>O88*J88/$R$10</f>
        <v>37322250.631010182</v>
      </c>
      <c r="T88" s="57"/>
    </row>
    <row r="89" spans="1:21" ht="13.5" customHeight="1" x14ac:dyDescent="0.2">
      <c r="A89" s="100"/>
      <c r="B89" s="101"/>
      <c r="C89" s="91" t="s">
        <v>34</v>
      </c>
      <c r="D89" s="92">
        <v>42840</v>
      </c>
      <c r="E89" s="94">
        <v>6.25E-2</v>
      </c>
      <c r="F89" s="94">
        <v>5.1562499999999997E-2</v>
      </c>
      <c r="G89" s="94">
        <v>5.3037599999999997E-2</v>
      </c>
      <c r="H89" s="94">
        <v>5.5625000000000001E-2</v>
      </c>
      <c r="I89" s="94">
        <v>5.1562499999999997E-2</v>
      </c>
      <c r="J89" s="95">
        <v>5.2581299999999997E-2</v>
      </c>
      <c r="K89" s="95">
        <v>5.3124999999999999E-2</v>
      </c>
      <c r="L89" s="96"/>
      <c r="M89" s="96">
        <v>1562000</v>
      </c>
      <c r="N89" s="96">
        <v>1050000</v>
      </c>
      <c r="O89" s="96">
        <v>1050000</v>
      </c>
      <c r="P89" s="97">
        <f t="shared" si="5"/>
        <v>1.4876190476190476</v>
      </c>
      <c r="Q89" s="98">
        <v>5.2600000000000001E-2</v>
      </c>
      <c r="R89" s="56">
        <v>0</v>
      </c>
      <c r="S89" s="57">
        <v>0</v>
      </c>
      <c r="T89" s="57"/>
    </row>
    <row r="90" spans="1:21" ht="13.5" customHeight="1" x14ac:dyDescent="0.2">
      <c r="A90" s="100"/>
      <c r="B90" s="101"/>
      <c r="C90" s="91" t="s">
        <v>35</v>
      </c>
      <c r="D90" s="92">
        <v>44696</v>
      </c>
      <c r="E90" s="94">
        <v>7.0000000000000007E-2</v>
      </c>
      <c r="F90" s="94">
        <v>5.9687499999999998E-2</v>
      </c>
      <c r="G90" s="94">
        <v>6.0570300000000001E-2</v>
      </c>
      <c r="H90" s="94">
        <v>6.2812499999999993E-2</v>
      </c>
      <c r="I90" s="94">
        <v>5.9687499999999998E-2</v>
      </c>
      <c r="J90" s="95">
        <v>6.02964E-2</v>
      </c>
      <c r="K90" s="95">
        <v>6.0937499999999999E-2</v>
      </c>
      <c r="L90" s="96"/>
      <c r="M90" s="96">
        <v>3747500</v>
      </c>
      <c r="N90" s="96">
        <v>2750000</v>
      </c>
      <c r="O90" s="96">
        <v>2750000</v>
      </c>
      <c r="P90" s="97">
        <f t="shared" si="5"/>
        <v>1.3627272727272728</v>
      </c>
      <c r="Q90" s="98">
        <v>6.0299999999999999E-2</v>
      </c>
      <c r="R90" s="56">
        <v>0</v>
      </c>
      <c r="S90" s="57">
        <v>0</v>
      </c>
      <c r="T90" s="57"/>
    </row>
    <row r="91" spans="1:21" ht="13.5" customHeight="1" x14ac:dyDescent="0.2">
      <c r="A91" s="100"/>
      <c r="B91" s="101"/>
      <c r="C91" s="91" t="s">
        <v>32</v>
      </c>
      <c r="D91" s="92">
        <v>48380</v>
      </c>
      <c r="E91" s="94">
        <v>8.2500000000000004E-2</v>
      </c>
      <c r="F91" s="94">
        <v>6.7812499999999998E-2</v>
      </c>
      <c r="G91" s="94">
        <v>6.8773000000000001E-2</v>
      </c>
      <c r="H91" s="94">
        <v>7.0937500000000001E-2</v>
      </c>
      <c r="I91" s="94">
        <v>6.7812499999999998E-2</v>
      </c>
      <c r="J91" s="95">
        <v>6.8396399999999996E-2</v>
      </c>
      <c r="K91" s="95">
        <v>6.8750000000000006E-2</v>
      </c>
      <c r="L91" s="96"/>
      <c r="M91" s="96">
        <v>5862000</v>
      </c>
      <c r="N91" s="96">
        <v>2850000</v>
      </c>
      <c r="O91" s="96">
        <v>2850000</v>
      </c>
      <c r="P91" s="97">
        <f t="shared" si="5"/>
        <v>2.0568421052631578</v>
      </c>
      <c r="Q91" s="98">
        <v>6.8400000000000002E-2</v>
      </c>
      <c r="R91" s="56">
        <v>1.9887751488813776E-3</v>
      </c>
      <c r="S91" s="57">
        <v>29293528.561597757</v>
      </c>
      <c r="T91" s="62"/>
    </row>
    <row r="92" spans="1:21" ht="13.5" customHeight="1" x14ac:dyDescent="0.2">
      <c r="A92" s="60">
        <v>41037</v>
      </c>
      <c r="B92" s="61">
        <v>41039</v>
      </c>
      <c r="C92" s="18" t="s">
        <v>79</v>
      </c>
      <c r="D92" s="19">
        <v>41222</v>
      </c>
      <c r="E92" s="104"/>
      <c r="F92" s="27">
        <v>3.8124999999999999E-2</v>
      </c>
      <c r="G92" s="27"/>
      <c r="H92" s="27">
        <v>0.05</v>
      </c>
      <c r="I92" s="27"/>
      <c r="J92" s="27">
        <v>3.8288700000000002E-2</v>
      </c>
      <c r="K92" s="28"/>
      <c r="L92" s="22">
        <v>1000000</v>
      </c>
      <c r="M92" s="22">
        <v>1596000</v>
      </c>
      <c r="N92" s="22">
        <v>150000</v>
      </c>
      <c r="O92" s="22">
        <v>150000</v>
      </c>
      <c r="P92" s="69">
        <f t="shared" si="5"/>
        <v>10.64</v>
      </c>
      <c r="Q92" s="56"/>
      <c r="R92" s="56"/>
      <c r="S92" s="57">
        <f>O92*J92/$R$10</f>
        <v>5885276.4670378156</v>
      </c>
      <c r="T92" s="57"/>
    </row>
    <row r="93" spans="1:21" ht="13.5" customHeight="1" x14ac:dyDescent="0.2">
      <c r="A93" s="16"/>
      <c r="B93" s="17"/>
      <c r="C93" s="18" t="s">
        <v>48</v>
      </c>
      <c r="D93" s="19">
        <v>43146</v>
      </c>
      <c r="E93" s="104">
        <v>4.4499999999999998E-2</v>
      </c>
      <c r="F93" s="27">
        <v>5.6250000000000001E-2</v>
      </c>
      <c r="G93" s="27"/>
      <c r="H93" s="27">
        <v>6.5000000000000002E-2</v>
      </c>
      <c r="I93" s="27"/>
      <c r="J93" s="28"/>
      <c r="K93" s="28"/>
      <c r="L93" s="22"/>
      <c r="M93" s="22">
        <v>207000</v>
      </c>
      <c r="N93" s="22"/>
      <c r="O93" s="22"/>
      <c r="P93" s="69"/>
      <c r="Q93" s="56"/>
      <c r="R93" s="56"/>
      <c r="S93" s="57"/>
      <c r="T93" s="57"/>
    </row>
    <row r="94" spans="1:21" ht="13.5" customHeight="1" x14ac:dyDescent="0.2">
      <c r="A94" s="16"/>
      <c r="B94" s="17"/>
      <c r="C94" s="18" t="s">
        <v>49</v>
      </c>
      <c r="D94" s="19">
        <v>44576</v>
      </c>
      <c r="E94" s="104">
        <v>5.45E-2</v>
      </c>
      <c r="F94" s="27">
        <v>6.1874999999999999E-2</v>
      </c>
      <c r="G94" s="27"/>
      <c r="H94" s="27">
        <v>7.0000000000000007E-2</v>
      </c>
      <c r="I94" s="27"/>
      <c r="J94" s="28">
        <v>6.2195100000000003E-2</v>
      </c>
      <c r="K94" s="28"/>
      <c r="L94" s="22"/>
      <c r="M94" s="22">
        <v>361000</v>
      </c>
      <c r="N94" s="22">
        <v>225000</v>
      </c>
      <c r="O94" s="22">
        <v>225000</v>
      </c>
      <c r="P94" s="69">
        <f t="shared" si="5"/>
        <v>1.6044444444444443</v>
      </c>
      <c r="Q94" s="56"/>
      <c r="R94" s="56" t="e">
        <f>O94*J94/$O$43</f>
        <v>#DIV/0!</v>
      </c>
      <c r="S94" s="57">
        <f>O94*J94/$R$10</f>
        <v>14339819.257185424</v>
      </c>
      <c r="T94" s="57"/>
    </row>
    <row r="95" spans="1:21" ht="13.5" customHeight="1" x14ac:dyDescent="0.2">
      <c r="A95" s="16"/>
      <c r="B95" s="17"/>
      <c r="C95" s="18" t="s">
        <v>50</v>
      </c>
      <c r="D95" s="19">
        <v>46402</v>
      </c>
      <c r="E95" s="27">
        <v>0.06</v>
      </c>
      <c r="F95" s="27">
        <v>6.5625000000000003E-2</v>
      </c>
      <c r="G95" s="27"/>
      <c r="H95" s="27">
        <v>7.7499999999999999E-2</v>
      </c>
      <c r="I95" s="27"/>
      <c r="J95" s="28">
        <v>6.6106200000000004E-2</v>
      </c>
      <c r="K95" s="28"/>
      <c r="L95" s="22"/>
      <c r="M95" s="22">
        <v>651000</v>
      </c>
      <c r="N95" s="22">
        <v>640000</v>
      </c>
      <c r="O95" s="22">
        <v>640000</v>
      </c>
      <c r="P95" s="69">
        <f t="shared" si="5"/>
        <v>1.0171874999999999</v>
      </c>
      <c r="Q95" s="108"/>
      <c r="R95" s="56" t="e">
        <f>O95*J95/$O$43</f>
        <v>#DIV/0!</v>
      </c>
      <c r="S95" s="57">
        <f>O95*J95/$R$10</f>
        <v>43353798.629637286</v>
      </c>
      <c r="T95" s="57"/>
    </row>
    <row r="96" spans="1:21" ht="13.5" customHeight="1" x14ac:dyDescent="0.2">
      <c r="A96" s="16"/>
      <c r="B96" s="17"/>
      <c r="C96" s="18" t="s">
        <v>53</v>
      </c>
      <c r="D96" s="19">
        <v>50086</v>
      </c>
      <c r="E96" s="27">
        <v>6.0999999999999999E-2</v>
      </c>
      <c r="F96" s="27">
        <v>6.9375000000000006E-2</v>
      </c>
      <c r="G96" s="27"/>
      <c r="H96" s="27">
        <v>7.1874999999999994E-2</v>
      </c>
      <c r="I96" s="27"/>
      <c r="J96" s="28"/>
      <c r="K96" s="28"/>
      <c r="L96" s="22"/>
      <c r="M96" s="22">
        <v>264000</v>
      </c>
      <c r="N96" s="22"/>
      <c r="O96" s="22"/>
      <c r="P96" s="69"/>
      <c r="Q96" s="108"/>
      <c r="R96" s="56" t="e">
        <f>O96*J96/$O$43</f>
        <v>#DIV/0!</v>
      </c>
      <c r="S96" s="57">
        <f>O96*J96/$R$10</f>
        <v>0</v>
      </c>
      <c r="T96" s="57"/>
    </row>
    <row r="97" spans="1:20" ht="13.5" customHeight="1" x14ac:dyDescent="0.2">
      <c r="A97" s="60">
        <v>41038</v>
      </c>
      <c r="B97" s="61">
        <v>41039</v>
      </c>
      <c r="C97" s="18" t="s">
        <v>80</v>
      </c>
      <c r="D97" s="19">
        <v>41222</v>
      </c>
      <c r="E97" s="27"/>
      <c r="F97" s="27"/>
      <c r="G97" s="27"/>
      <c r="H97" s="27"/>
      <c r="I97" s="27"/>
      <c r="J97" s="27">
        <v>3.8288700000000002E-2</v>
      </c>
      <c r="K97" s="28"/>
      <c r="L97" s="22"/>
      <c r="M97" s="22">
        <v>755000</v>
      </c>
      <c r="N97" s="22">
        <v>755000</v>
      </c>
      <c r="O97" s="22">
        <v>755000</v>
      </c>
      <c r="P97" s="69">
        <f t="shared" si="5"/>
        <v>1</v>
      </c>
      <c r="Q97" s="108"/>
      <c r="R97" s="56"/>
      <c r="S97" s="57"/>
      <c r="T97" s="57"/>
    </row>
    <row r="98" spans="1:20" ht="13.5" customHeight="1" x14ac:dyDescent="0.2">
      <c r="A98" s="124">
        <v>41043</v>
      </c>
      <c r="B98" s="124">
        <v>41045</v>
      </c>
      <c r="C98" s="125" t="s">
        <v>81</v>
      </c>
      <c r="D98" s="126">
        <v>41108</v>
      </c>
      <c r="E98" s="127">
        <v>0</v>
      </c>
      <c r="F98" s="128">
        <v>3.5000000000000003E-2</v>
      </c>
      <c r="G98" s="128">
        <v>4.0708599999999998E-2</v>
      </c>
      <c r="H98" s="128">
        <v>4.2500000000000003E-2</v>
      </c>
      <c r="I98" s="128"/>
      <c r="J98" s="129"/>
      <c r="K98" s="129"/>
      <c r="L98" s="130">
        <v>6000000</v>
      </c>
      <c r="M98" s="130">
        <v>2655000</v>
      </c>
      <c r="N98" s="130">
        <v>0</v>
      </c>
      <c r="O98" s="130">
        <v>0</v>
      </c>
      <c r="P98" s="131">
        <v>0</v>
      </c>
      <c r="Q98" s="132">
        <v>3.2899999999999999E-2</v>
      </c>
      <c r="R98" s="56"/>
      <c r="S98" s="57">
        <f>O98*J98/$R$10</f>
        <v>0</v>
      </c>
      <c r="T98" s="57"/>
    </row>
    <row r="99" spans="1:20" ht="13.5" customHeight="1" x14ac:dyDescent="0.2">
      <c r="A99" s="100"/>
      <c r="B99" s="99"/>
      <c r="C99" s="91" t="s">
        <v>82</v>
      </c>
      <c r="D99" s="92">
        <v>41368</v>
      </c>
      <c r="E99" s="93">
        <v>0</v>
      </c>
      <c r="F99" s="94">
        <v>4.1875000000000002E-2</v>
      </c>
      <c r="G99" s="94">
        <v>4.6793800000000003E-2</v>
      </c>
      <c r="H99" s="94">
        <v>0.05</v>
      </c>
      <c r="I99" s="94"/>
      <c r="J99" s="95"/>
      <c r="K99" s="95"/>
      <c r="L99" s="96"/>
      <c r="M99" s="96">
        <v>2780000</v>
      </c>
      <c r="N99" s="96">
        <v>0</v>
      </c>
      <c r="O99" s="96">
        <v>0</v>
      </c>
      <c r="P99" s="97">
        <v>0</v>
      </c>
      <c r="Q99" s="98">
        <v>3.9699999999999999E-2</v>
      </c>
      <c r="R99" s="56"/>
      <c r="S99" s="57"/>
      <c r="T99" s="57"/>
    </row>
    <row r="100" spans="1:20" ht="13.5" customHeight="1" x14ac:dyDescent="0.2">
      <c r="A100" s="100"/>
      <c r="B100" s="101"/>
      <c r="C100" s="91" t="s">
        <v>35</v>
      </c>
      <c r="D100" s="92">
        <v>44696</v>
      </c>
      <c r="E100" s="94">
        <v>7.0000000000000007E-2</v>
      </c>
      <c r="F100" s="94">
        <v>6.2812499999999993E-2</v>
      </c>
      <c r="G100" s="94">
        <v>6.4113299999999998E-2</v>
      </c>
      <c r="H100" s="94">
        <v>6.5937499999999996E-2</v>
      </c>
      <c r="I100" s="94">
        <v>6.2812499999999993E-2</v>
      </c>
      <c r="J100" s="95">
        <v>6.2980800000000003E-2</v>
      </c>
      <c r="K100" s="95">
        <v>6.3125000000000001E-2</v>
      </c>
      <c r="L100" s="96"/>
      <c r="M100" s="96">
        <v>3511000</v>
      </c>
      <c r="N100" s="96">
        <v>500000</v>
      </c>
      <c r="O100" s="96">
        <v>500000</v>
      </c>
      <c r="P100" s="97">
        <f>M100/O100</f>
        <v>7.0220000000000002</v>
      </c>
      <c r="Q100" s="98">
        <v>6.3E-2</v>
      </c>
      <c r="R100" s="56">
        <v>0</v>
      </c>
      <c r="S100" s="57">
        <v>0</v>
      </c>
      <c r="T100" s="57"/>
    </row>
    <row r="101" spans="1:20" ht="13.5" customHeight="1" x14ac:dyDescent="0.2">
      <c r="A101" s="100"/>
      <c r="B101" s="101"/>
      <c r="C101" s="91" t="s">
        <v>43</v>
      </c>
      <c r="D101" s="92">
        <v>46522</v>
      </c>
      <c r="E101" s="94">
        <v>7.0000000000000007E-2</v>
      </c>
      <c r="F101" s="94">
        <v>6.6875000000000004E-2</v>
      </c>
      <c r="G101" s="94">
        <v>6.7849499999999993E-2</v>
      </c>
      <c r="H101" s="94">
        <v>7.0000000000000007E-2</v>
      </c>
      <c r="I101" s="94">
        <v>6.6875000000000004E-2</v>
      </c>
      <c r="J101" s="94">
        <v>6.6875000000000004E-2</v>
      </c>
      <c r="K101" s="94">
        <v>6.6875000000000004E-2</v>
      </c>
      <c r="L101" s="96"/>
      <c r="M101" s="96">
        <v>2100000</v>
      </c>
      <c r="N101" s="96">
        <v>300000</v>
      </c>
      <c r="O101" s="96">
        <v>275000</v>
      </c>
      <c r="P101" s="97">
        <f>M101/O101</f>
        <v>7.6363636363636367</v>
      </c>
      <c r="Q101" s="98">
        <v>6.6900000000000001E-2</v>
      </c>
      <c r="R101" s="56">
        <v>0</v>
      </c>
      <c r="S101" s="57">
        <v>0</v>
      </c>
      <c r="T101" s="57"/>
    </row>
    <row r="102" spans="1:20" ht="13.5" customHeight="1" x14ac:dyDescent="0.2">
      <c r="A102" s="133"/>
      <c r="B102" s="153"/>
      <c r="C102" s="135" t="s">
        <v>32</v>
      </c>
      <c r="D102" s="136">
        <v>48380</v>
      </c>
      <c r="E102" s="138">
        <v>8.2500000000000004E-2</v>
      </c>
      <c r="F102" s="138">
        <v>7.0000000000000007E-2</v>
      </c>
      <c r="G102" s="138">
        <v>7.1698100000000001E-2</v>
      </c>
      <c r="H102" s="138">
        <v>7.4999999999999997E-2</v>
      </c>
      <c r="I102" s="138"/>
      <c r="J102" s="139"/>
      <c r="K102" s="139"/>
      <c r="L102" s="140"/>
      <c r="M102" s="140">
        <v>2263000</v>
      </c>
      <c r="N102" s="140">
        <v>0</v>
      </c>
      <c r="O102" s="140">
        <v>0</v>
      </c>
      <c r="P102" s="141"/>
      <c r="Q102" s="142">
        <v>6.9500000000000006E-2</v>
      </c>
      <c r="R102" s="56">
        <v>1.9887751488813776E-3</v>
      </c>
      <c r="S102" s="57">
        <v>29293528.561597757</v>
      </c>
      <c r="T102" s="62"/>
    </row>
    <row r="103" spans="1:20" ht="13.5" customHeight="1" x14ac:dyDescent="0.2">
      <c r="A103" s="60">
        <v>41051</v>
      </c>
      <c r="B103" s="61">
        <v>41053</v>
      </c>
      <c r="C103" s="18" t="s">
        <v>48</v>
      </c>
      <c r="D103" s="19">
        <v>43146</v>
      </c>
      <c r="E103" s="104">
        <v>4.4499999999999998E-2</v>
      </c>
      <c r="F103" s="27"/>
      <c r="G103" s="27"/>
      <c r="H103" s="27"/>
      <c r="I103" s="27"/>
      <c r="J103" s="28"/>
      <c r="K103" s="28"/>
      <c r="L103" s="22">
        <v>1000000</v>
      </c>
      <c r="M103" s="22">
        <v>145000</v>
      </c>
      <c r="N103" s="22">
        <v>115000</v>
      </c>
      <c r="O103" s="22">
        <v>115000</v>
      </c>
      <c r="P103" s="69"/>
      <c r="Q103" s="56"/>
      <c r="R103" s="56"/>
      <c r="S103" s="57">
        <f>O103*J103/$R$10</f>
        <v>0</v>
      </c>
      <c r="T103" s="57"/>
    </row>
    <row r="104" spans="1:20" ht="13.5" customHeight="1" x14ac:dyDescent="0.2">
      <c r="A104" s="16"/>
      <c r="B104" s="17"/>
      <c r="C104" s="18" t="s">
        <v>49</v>
      </c>
      <c r="D104" s="19">
        <v>44576</v>
      </c>
      <c r="E104" s="104">
        <v>5.45E-2</v>
      </c>
      <c r="F104" s="27"/>
      <c r="G104" s="27"/>
      <c r="H104" s="27"/>
      <c r="I104" s="27"/>
      <c r="J104" s="28"/>
      <c r="K104" s="28"/>
      <c r="L104" s="22"/>
      <c r="M104" s="22">
        <v>306000</v>
      </c>
      <c r="N104" s="22">
        <v>105000</v>
      </c>
      <c r="O104" s="22">
        <v>105000</v>
      </c>
      <c r="P104" s="69"/>
      <c r="Q104" s="56"/>
      <c r="R104" s="56"/>
      <c r="S104" s="57"/>
      <c r="T104" s="57"/>
    </row>
    <row r="105" spans="1:20" ht="13.5" customHeight="1" x14ac:dyDescent="0.2">
      <c r="A105" s="16"/>
      <c r="B105" s="17"/>
      <c r="C105" s="18" t="s">
        <v>50</v>
      </c>
      <c r="D105" s="19">
        <v>46402</v>
      </c>
      <c r="E105" s="27">
        <v>0.06</v>
      </c>
      <c r="F105" s="27"/>
      <c r="G105" s="27"/>
      <c r="H105" s="27"/>
      <c r="I105" s="27"/>
      <c r="J105" s="28"/>
      <c r="K105" s="28"/>
      <c r="L105" s="22"/>
      <c r="M105" s="22">
        <v>124000</v>
      </c>
      <c r="N105" s="22"/>
      <c r="O105" s="22"/>
      <c r="P105" s="69"/>
      <c r="Q105" s="108"/>
      <c r="R105" s="56" t="e">
        <f>O105*J105/$O$43</f>
        <v>#DIV/0!</v>
      </c>
      <c r="S105" s="57">
        <f>O105*J105/$R$10</f>
        <v>0</v>
      </c>
      <c r="T105" s="57"/>
    </row>
    <row r="106" spans="1:20" ht="13.5" customHeight="1" x14ac:dyDescent="0.2">
      <c r="A106" s="16"/>
      <c r="B106" s="17"/>
      <c r="C106" s="18" t="s">
        <v>53</v>
      </c>
      <c r="D106" s="19">
        <v>50086</v>
      </c>
      <c r="E106" s="27">
        <v>6.0999999999999999E-2</v>
      </c>
      <c r="F106" s="27"/>
      <c r="G106" s="27"/>
      <c r="H106" s="27"/>
      <c r="I106" s="27"/>
      <c r="J106" s="28"/>
      <c r="K106" s="28"/>
      <c r="L106" s="22"/>
      <c r="M106" s="22">
        <v>843000</v>
      </c>
      <c r="N106" s="22">
        <v>330000</v>
      </c>
      <c r="O106" s="22">
        <v>330000</v>
      </c>
      <c r="P106" s="69"/>
      <c r="Q106" s="108"/>
      <c r="R106" s="56" t="e">
        <f>O106*J106/$O$43</f>
        <v>#DIV/0!</v>
      </c>
      <c r="S106" s="57">
        <f>O106*J106/$R$10</f>
        <v>0</v>
      </c>
      <c r="T106" s="57"/>
    </row>
    <row r="107" spans="1:20" ht="13.5" customHeight="1" x14ac:dyDescent="0.2">
      <c r="A107" s="60">
        <v>41059</v>
      </c>
      <c r="B107" s="61">
        <v>41059</v>
      </c>
      <c r="C107" s="18" t="s">
        <v>84</v>
      </c>
      <c r="D107" s="19">
        <v>43250</v>
      </c>
      <c r="E107" s="27">
        <v>6.0600000000000001E-2</v>
      </c>
      <c r="F107" s="27"/>
      <c r="G107" s="27"/>
      <c r="H107" s="27"/>
      <c r="I107" s="27"/>
      <c r="J107" s="27">
        <v>6.0600000000000001E-2</v>
      </c>
      <c r="K107" s="28"/>
      <c r="L107" s="22"/>
      <c r="M107" s="22">
        <v>2500000</v>
      </c>
      <c r="N107" s="22">
        <v>2500000</v>
      </c>
      <c r="O107" s="22">
        <v>2500000</v>
      </c>
      <c r="P107" s="69">
        <f>M107/O107</f>
        <v>1</v>
      </c>
      <c r="Q107" s="108"/>
      <c r="R107" s="56"/>
      <c r="S107" s="57"/>
      <c r="T107" s="57"/>
    </row>
    <row r="108" spans="1:20" ht="13.5" customHeight="1" x14ac:dyDescent="0.2">
      <c r="A108" s="124">
        <v>41065</v>
      </c>
      <c r="B108" s="124">
        <v>41067</v>
      </c>
      <c r="C108" s="125" t="s">
        <v>83</v>
      </c>
      <c r="D108" s="126">
        <v>41431</v>
      </c>
      <c r="E108" s="127">
        <v>0</v>
      </c>
      <c r="F108" s="128">
        <v>4.1250000000000002E-2</v>
      </c>
      <c r="G108" s="128">
        <v>4.5435400000000001E-2</v>
      </c>
      <c r="H108" s="128">
        <v>4.8125000000000001E-2</v>
      </c>
      <c r="I108" s="94">
        <v>4.1250000000000002E-2</v>
      </c>
      <c r="J108" s="94">
        <v>4.1250000000000002E-2</v>
      </c>
      <c r="K108" s="94">
        <v>4.1250000000000002E-2</v>
      </c>
      <c r="L108" s="130">
        <v>5000000</v>
      </c>
      <c r="M108" s="130">
        <v>2425000</v>
      </c>
      <c r="N108" s="130">
        <v>1780000</v>
      </c>
      <c r="O108" s="130">
        <v>730000</v>
      </c>
      <c r="P108" s="97">
        <f t="shared" ref="P108:P113" si="6">M108/O108</f>
        <v>3.3219178082191783</v>
      </c>
      <c r="Q108" s="132">
        <v>4.4499999999999998E-2</v>
      </c>
      <c r="R108" s="56"/>
      <c r="S108" s="57">
        <f>O108*J108/$R$10</f>
        <v>30856865.100090668</v>
      </c>
      <c r="T108" s="57"/>
    </row>
    <row r="109" spans="1:20" ht="13.5" customHeight="1" x14ac:dyDescent="0.2">
      <c r="A109" s="100"/>
      <c r="B109" s="99"/>
      <c r="C109" s="91" t="s">
        <v>34</v>
      </c>
      <c r="D109" s="92">
        <v>42840</v>
      </c>
      <c r="E109" s="94">
        <v>6.25E-2</v>
      </c>
      <c r="F109" s="94">
        <v>5.4062499999999999E-2</v>
      </c>
      <c r="G109" s="94">
        <v>5.6661599999999999E-2</v>
      </c>
      <c r="H109" s="94">
        <v>0.06</v>
      </c>
      <c r="I109" s="94">
        <v>5.4062499999999999E-2</v>
      </c>
      <c r="J109" s="94">
        <v>5.5689500000000003E-2</v>
      </c>
      <c r="K109" s="94">
        <v>5.6562500000000002E-2</v>
      </c>
      <c r="L109" s="96"/>
      <c r="M109" s="96">
        <v>2680000</v>
      </c>
      <c r="N109" s="96">
        <v>1550000</v>
      </c>
      <c r="O109" s="96">
        <v>1550000</v>
      </c>
      <c r="P109" s="97">
        <f t="shared" si="6"/>
        <v>1.7290322580645161</v>
      </c>
      <c r="Q109" s="98">
        <v>5.57E-2</v>
      </c>
      <c r="R109" s="56"/>
      <c r="S109" s="57"/>
      <c r="T109" s="57"/>
    </row>
    <row r="110" spans="1:20" ht="13.5" customHeight="1" x14ac:dyDescent="0.2">
      <c r="A110" s="100"/>
      <c r="B110" s="101"/>
      <c r="C110" s="91" t="s">
        <v>35</v>
      </c>
      <c r="D110" s="92">
        <v>44696</v>
      </c>
      <c r="E110" s="94">
        <v>7.0000000000000007E-2</v>
      </c>
      <c r="F110" s="94">
        <v>6.4375000000000002E-2</v>
      </c>
      <c r="G110" s="94">
        <v>6.53035E-2</v>
      </c>
      <c r="H110" s="94">
        <v>6.8750000000000006E-2</v>
      </c>
      <c r="I110" s="94">
        <v>6.4375000000000002E-2</v>
      </c>
      <c r="J110" s="94">
        <v>6.5028199999999994E-2</v>
      </c>
      <c r="K110" s="94">
        <v>6.5625000000000003E-2</v>
      </c>
      <c r="L110" s="96"/>
      <c r="M110" s="96">
        <v>4652000</v>
      </c>
      <c r="N110" s="96">
        <v>3800000</v>
      </c>
      <c r="O110" s="96">
        <v>3500000</v>
      </c>
      <c r="P110" s="97">
        <f t="shared" si="6"/>
        <v>1.3291428571428572</v>
      </c>
      <c r="Q110" s="98">
        <v>6.5100000000000005E-2</v>
      </c>
      <c r="R110" s="56">
        <v>0</v>
      </c>
      <c r="S110" s="57">
        <v>0</v>
      </c>
      <c r="T110" s="57"/>
    </row>
    <row r="111" spans="1:20" ht="13.5" customHeight="1" x14ac:dyDescent="0.2">
      <c r="A111" s="100"/>
      <c r="B111" s="101"/>
      <c r="C111" s="135" t="s">
        <v>32</v>
      </c>
      <c r="D111" s="136">
        <v>48380</v>
      </c>
      <c r="E111" s="138">
        <v>8.2500000000000004E-2</v>
      </c>
      <c r="F111" s="94">
        <v>7.2187500000000002E-2</v>
      </c>
      <c r="G111" s="94">
        <v>7.2802599999999995E-2</v>
      </c>
      <c r="H111" s="94">
        <v>7.3749999999999996E-2</v>
      </c>
      <c r="I111" s="94">
        <v>7.2187500000000002E-2</v>
      </c>
      <c r="J111" s="94">
        <v>7.2480900000000001E-2</v>
      </c>
      <c r="K111" s="94">
        <v>7.2499999999999995E-2</v>
      </c>
      <c r="L111" s="96"/>
      <c r="M111" s="96">
        <v>4410000</v>
      </c>
      <c r="N111" s="96">
        <v>1900000</v>
      </c>
      <c r="O111" s="96">
        <v>1720000</v>
      </c>
      <c r="P111" s="97">
        <f t="shared" si="6"/>
        <v>2.5639534883720931</v>
      </c>
      <c r="Q111" s="98">
        <v>7.2499999999999995E-2</v>
      </c>
      <c r="R111" s="56">
        <v>0</v>
      </c>
      <c r="S111" s="57">
        <v>0</v>
      </c>
      <c r="T111" s="57"/>
    </row>
    <row r="112" spans="1:20" ht="13.5" customHeight="1" x14ac:dyDescent="0.2">
      <c r="A112" s="60">
        <v>41072</v>
      </c>
      <c r="B112" s="61">
        <v>41074</v>
      </c>
      <c r="C112" s="18" t="s">
        <v>85</v>
      </c>
      <c r="D112" s="19"/>
      <c r="E112" s="104"/>
      <c r="F112" s="27"/>
      <c r="G112" s="27"/>
      <c r="H112" s="27"/>
      <c r="I112" s="27"/>
      <c r="J112" s="27"/>
      <c r="K112" s="28"/>
      <c r="L112" s="22">
        <v>1000000</v>
      </c>
      <c r="M112" s="22">
        <v>726000</v>
      </c>
      <c r="N112" s="22"/>
      <c r="O112" s="22"/>
      <c r="P112" s="69"/>
      <c r="Q112" s="56"/>
      <c r="R112" s="56"/>
      <c r="S112" s="57">
        <f>O112*J112/$R$10</f>
        <v>0</v>
      </c>
      <c r="T112" s="57"/>
    </row>
    <row r="113" spans="1:20" ht="13.5" customHeight="1" x14ac:dyDescent="0.2">
      <c r="A113" s="16"/>
      <c r="B113" s="17"/>
      <c r="C113" s="18" t="s">
        <v>48</v>
      </c>
      <c r="D113" s="19">
        <v>43146</v>
      </c>
      <c r="E113" s="104">
        <v>4.4499999999999998E-2</v>
      </c>
      <c r="F113" s="27"/>
      <c r="G113" s="27"/>
      <c r="H113" s="27"/>
      <c r="I113" s="27"/>
      <c r="J113" s="28"/>
      <c r="K113" s="28"/>
      <c r="L113" s="22"/>
      <c r="M113" s="22">
        <v>1146000</v>
      </c>
      <c r="N113" s="22"/>
      <c r="O113" s="22">
        <v>800000</v>
      </c>
      <c r="P113" s="69">
        <f t="shared" si="6"/>
        <v>1.4325000000000001</v>
      </c>
      <c r="Q113" s="56"/>
      <c r="R113" s="56"/>
      <c r="S113" s="57"/>
      <c r="T113" s="57"/>
    </row>
    <row r="114" spans="1:20" ht="13.5" customHeight="1" x14ac:dyDescent="0.2">
      <c r="A114" s="16"/>
      <c r="B114" s="17"/>
      <c r="C114" s="18" t="s">
        <v>49</v>
      </c>
      <c r="D114" s="19">
        <v>44576</v>
      </c>
      <c r="E114" s="104">
        <v>5.45E-2</v>
      </c>
      <c r="F114" s="27"/>
      <c r="G114" s="27"/>
      <c r="H114" s="27"/>
      <c r="I114" s="27"/>
      <c r="J114" s="28"/>
      <c r="K114" s="28"/>
      <c r="L114" s="22"/>
      <c r="M114" s="22">
        <v>101000</v>
      </c>
      <c r="N114" s="22"/>
      <c r="O114" s="22"/>
      <c r="P114" s="69"/>
      <c r="Q114" s="56"/>
      <c r="R114" s="56" t="e">
        <f>O114*J114/$O$43</f>
        <v>#DIV/0!</v>
      </c>
      <c r="S114" s="57">
        <f>O114*J114/$R$10</f>
        <v>0</v>
      </c>
      <c r="T114" s="57"/>
    </row>
    <row r="115" spans="1:20" ht="13.5" customHeight="1" x14ac:dyDescent="0.2">
      <c r="A115" s="16"/>
      <c r="B115" s="17"/>
      <c r="C115" s="18" t="s">
        <v>50</v>
      </c>
      <c r="D115" s="19">
        <v>46402</v>
      </c>
      <c r="E115" s="27">
        <v>0.06</v>
      </c>
      <c r="F115" s="27"/>
      <c r="G115" s="27"/>
      <c r="H115" s="27"/>
      <c r="I115" s="27"/>
      <c r="J115" s="28"/>
      <c r="K115" s="28"/>
      <c r="L115" s="22"/>
      <c r="M115" s="22">
        <v>31000</v>
      </c>
      <c r="N115" s="22"/>
      <c r="O115" s="22"/>
      <c r="P115" s="69"/>
      <c r="Q115" s="108"/>
      <c r="R115" s="56" t="e">
        <f>O115*J115/$O$43</f>
        <v>#DIV/0!</v>
      </c>
      <c r="S115" s="57">
        <f>O115*J115/$R$10</f>
        <v>0</v>
      </c>
      <c r="T115" s="57"/>
    </row>
    <row r="116" spans="1:20" ht="13.5" customHeight="1" x14ac:dyDescent="0.2">
      <c r="A116" s="16"/>
      <c r="B116" s="17"/>
      <c r="C116" s="18" t="s">
        <v>53</v>
      </c>
      <c r="D116" s="19">
        <v>50086</v>
      </c>
      <c r="E116" s="27">
        <v>6.0999999999999999E-2</v>
      </c>
      <c r="F116" s="27"/>
      <c r="G116" s="27"/>
      <c r="H116" s="27"/>
      <c r="I116" s="27"/>
      <c r="J116" s="28"/>
      <c r="K116" s="28"/>
      <c r="L116" s="22"/>
      <c r="M116" s="22">
        <v>259000</v>
      </c>
      <c r="N116" s="22"/>
      <c r="O116" s="22"/>
      <c r="P116" s="69"/>
      <c r="Q116" s="108"/>
      <c r="R116" s="56" t="e">
        <f>O116*J116/$O$43</f>
        <v>#DIV/0!</v>
      </c>
      <c r="S116" s="57">
        <f>O116*J116/$R$10</f>
        <v>0</v>
      </c>
      <c r="T116" s="57"/>
    </row>
    <row r="117" spans="1:20" ht="13.5" customHeight="1" x14ac:dyDescent="0.2">
      <c r="A117" s="124">
        <v>41079</v>
      </c>
      <c r="B117" s="124">
        <v>41081</v>
      </c>
      <c r="C117" s="125" t="s">
        <v>86</v>
      </c>
      <c r="D117" s="126">
        <v>41172</v>
      </c>
      <c r="E117" s="127">
        <v>0</v>
      </c>
      <c r="F117" s="128">
        <v>3.8124999999999999E-2</v>
      </c>
      <c r="G117" s="128">
        <v>4.0517400000000002E-2</v>
      </c>
      <c r="H117" s="128">
        <v>4.2812500000000003E-2</v>
      </c>
      <c r="I117" s="128">
        <v>3.8124999999999999E-2</v>
      </c>
      <c r="J117" s="129">
        <v>3.8978100000000002E-2</v>
      </c>
      <c r="K117" s="129">
        <v>3.9375E-2</v>
      </c>
      <c r="L117" s="130">
        <v>5000000</v>
      </c>
      <c r="M117" s="130">
        <v>1685000</v>
      </c>
      <c r="N117" s="130">
        <v>500000</v>
      </c>
      <c r="O117" s="130">
        <v>500000</v>
      </c>
      <c r="P117" s="97">
        <f t="shared" ref="P117:P122" si="7">M117/O117</f>
        <v>3.37</v>
      </c>
      <c r="Q117" s="132">
        <v>3.9E-2</v>
      </c>
      <c r="R117" s="56"/>
      <c r="S117" s="57">
        <f>O117*J117/$R$10</f>
        <v>19970809.025451954</v>
      </c>
      <c r="T117" s="57"/>
    </row>
    <row r="118" spans="1:20" ht="13.5" customHeight="1" x14ac:dyDescent="0.2">
      <c r="A118" s="100"/>
      <c r="B118" s="99"/>
      <c r="C118" s="125" t="s">
        <v>87</v>
      </c>
      <c r="D118" s="126">
        <v>41431</v>
      </c>
      <c r="E118" s="93">
        <v>0</v>
      </c>
      <c r="F118" s="94">
        <v>4.2500000000000003E-2</v>
      </c>
      <c r="G118" s="94">
        <v>4.4346900000000002E-2</v>
      </c>
      <c r="H118" s="94">
        <v>4.8750000000000002E-2</v>
      </c>
      <c r="I118" s="94">
        <v>4.2500000000000003E-2</v>
      </c>
      <c r="J118" s="95">
        <v>4.3333299999999998E-2</v>
      </c>
      <c r="K118" s="95">
        <v>4.3749999999999997E-2</v>
      </c>
      <c r="L118" s="96"/>
      <c r="M118" s="96">
        <v>1271400</v>
      </c>
      <c r="N118" s="96">
        <v>1250000</v>
      </c>
      <c r="O118" s="96">
        <v>1150000</v>
      </c>
      <c r="P118" s="97">
        <f t="shared" si="7"/>
        <v>1.1055652173913044</v>
      </c>
      <c r="Q118" s="98">
        <v>4.3999999999999997E-2</v>
      </c>
      <c r="R118" s="56"/>
      <c r="S118" s="57"/>
      <c r="T118" s="57"/>
    </row>
    <row r="119" spans="1:20" ht="13.5" customHeight="1" x14ac:dyDescent="0.2">
      <c r="A119" s="100"/>
      <c r="B119" s="101"/>
      <c r="C119" s="91" t="s">
        <v>35</v>
      </c>
      <c r="D119" s="92">
        <v>44696</v>
      </c>
      <c r="E119" s="94">
        <v>7.0000000000000007E-2</v>
      </c>
      <c r="F119" s="94">
        <v>6.3437499999999994E-2</v>
      </c>
      <c r="G119" s="94">
        <v>6.4400700000000005E-2</v>
      </c>
      <c r="H119" s="94">
        <v>6.5625000000000003E-2</v>
      </c>
      <c r="I119" s="94">
        <v>6.3437499999999994E-2</v>
      </c>
      <c r="J119" s="95">
        <v>6.3898899999999995E-2</v>
      </c>
      <c r="K119" s="95">
        <v>6.4062499999999994E-2</v>
      </c>
      <c r="L119" s="96"/>
      <c r="M119" s="96">
        <v>4972000</v>
      </c>
      <c r="N119" s="96">
        <v>950000</v>
      </c>
      <c r="O119" s="96">
        <v>950000</v>
      </c>
      <c r="P119" s="97">
        <f t="shared" si="7"/>
        <v>5.2336842105263157</v>
      </c>
      <c r="Q119" s="98">
        <v>6.3899999999999998E-2</v>
      </c>
      <c r="R119" s="56">
        <v>0</v>
      </c>
      <c r="S119" s="57">
        <v>0</v>
      </c>
      <c r="T119" s="57"/>
    </row>
    <row r="120" spans="1:20" ht="13.5" customHeight="1" x14ac:dyDescent="0.2">
      <c r="A120" s="100"/>
      <c r="B120" s="101"/>
      <c r="C120" s="91" t="s">
        <v>43</v>
      </c>
      <c r="D120" s="92">
        <v>46522</v>
      </c>
      <c r="E120" s="94">
        <v>7.0000000000000007E-2</v>
      </c>
      <c r="F120" s="94">
        <v>6.7187499999999997E-2</v>
      </c>
      <c r="G120" s="94">
        <v>6.7648200000000006E-2</v>
      </c>
      <c r="H120" s="94">
        <v>6.9062499999999999E-2</v>
      </c>
      <c r="I120" s="94">
        <v>6.7187499999999997E-2</v>
      </c>
      <c r="J120" s="94">
        <v>6.7388000000000003E-2</v>
      </c>
      <c r="K120" s="94">
        <v>6.7812499999999998E-2</v>
      </c>
      <c r="L120" s="96"/>
      <c r="M120" s="96">
        <v>2540000</v>
      </c>
      <c r="N120" s="96">
        <v>1600000</v>
      </c>
      <c r="O120" s="96">
        <v>1600000</v>
      </c>
      <c r="P120" s="97">
        <f t="shared" si="7"/>
        <v>1.5874999999999999</v>
      </c>
      <c r="Q120" s="98">
        <v>6.7400000000000002E-2</v>
      </c>
      <c r="R120" s="56">
        <v>0</v>
      </c>
      <c r="S120" s="57">
        <v>0</v>
      </c>
      <c r="T120" s="57"/>
    </row>
    <row r="121" spans="1:20" ht="13.5" customHeight="1" x14ac:dyDescent="0.2">
      <c r="A121" s="133"/>
      <c r="B121" s="153"/>
      <c r="C121" s="135" t="s">
        <v>32</v>
      </c>
      <c r="D121" s="136">
        <v>48380</v>
      </c>
      <c r="E121" s="138">
        <v>8.2500000000000004E-2</v>
      </c>
      <c r="F121" s="138">
        <v>7.03125E-2</v>
      </c>
      <c r="G121" s="138">
        <v>7.1506700000000006E-2</v>
      </c>
      <c r="H121" s="138">
        <v>7.2499999999999995E-2</v>
      </c>
      <c r="I121" s="138">
        <v>7.03125E-2</v>
      </c>
      <c r="J121" s="139">
        <v>7.1447399999999994E-2</v>
      </c>
      <c r="K121" s="139">
        <v>7.1874999999999994E-2</v>
      </c>
      <c r="L121" s="140"/>
      <c r="M121" s="140">
        <v>2848000</v>
      </c>
      <c r="N121" s="140">
        <v>2800000</v>
      </c>
      <c r="O121" s="140">
        <v>2650000</v>
      </c>
      <c r="P121" s="97">
        <f t="shared" si="7"/>
        <v>1.0747169811320754</v>
      </c>
      <c r="Q121" s="142">
        <v>7.1499999999999994E-2</v>
      </c>
      <c r="R121" s="56">
        <v>1.9887751488813776E-3</v>
      </c>
      <c r="S121" s="57">
        <v>29293528.561597757</v>
      </c>
      <c r="T121" s="62"/>
    </row>
    <row r="122" spans="1:20" ht="13.5" customHeight="1" x14ac:dyDescent="0.2">
      <c r="A122" s="60">
        <v>41086</v>
      </c>
      <c r="B122" s="61">
        <v>41088</v>
      </c>
      <c r="C122" s="18" t="s">
        <v>48</v>
      </c>
      <c r="D122" s="19">
        <v>43146</v>
      </c>
      <c r="E122" s="104">
        <v>4.4499999999999998E-2</v>
      </c>
      <c r="F122" s="27">
        <v>5.8125000000000003E-2</v>
      </c>
      <c r="G122" s="27"/>
      <c r="H122" s="27">
        <v>7.0000000000000007E-2</v>
      </c>
      <c r="I122" s="27"/>
      <c r="J122" s="27">
        <v>5.90935E-2</v>
      </c>
      <c r="K122" s="28"/>
      <c r="L122" s="22">
        <v>1000000</v>
      </c>
      <c r="M122" s="22">
        <v>916000</v>
      </c>
      <c r="N122" s="22"/>
      <c r="O122" s="22">
        <v>655000</v>
      </c>
      <c r="P122" s="69">
        <f t="shared" si="7"/>
        <v>1.3984732824427482</v>
      </c>
      <c r="Q122" s="56"/>
      <c r="R122" s="56"/>
      <c r="S122" s="57">
        <f>O122*J122/$R$10</f>
        <v>39663040.377049267</v>
      </c>
      <c r="T122" s="57"/>
    </row>
    <row r="123" spans="1:20" ht="13.5" customHeight="1" x14ac:dyDescent="0.2">
      <c r="A123" s="16"/>
      <c r="B123" s="17"/>
      <c r="C123" s="18" t="s">
        <v>49</v>
      </c>
      <c r="D123" s="19">
        <v>44576</v>
      </c>
      <c r="E123" s="104">
        <v>5.45E-2</v>
      </c>
      <c r="F123" s="27">
        <v>6.5312499999999996E-2</v>
      </c>
      <c r="G123" s="27"/>
      <c r="H123" s="27">
        <v>7.0000000000000007E-2</v>
      </c>
      <c r="I123" s="27"/>
      <c r="J123" s="28"/>
      <c r="K123" s="28"/>
      <c r="L123" s="22"/>
      <c r="M123" s="22">
        <v>266000</v>
      </c>
      <c r="N123" s="22"/>
      <c r="O123" s="22"/>
      <c r="P123" s="69"/>
      <c r="Q123" s="56"/>
      <c r="R123" s="56"/>
      <c r="S123" s="57"/>
      <c r="T123" s="57"/>
    </row>
    <row r="124" spans="1:20" ht="13.5" customHeight="1" x14ac:dyDescent="0.2">
      <c r="A124" s="16"/>
      <c r="B124" s="17"/>
      <c r="C124" s="18" t="s">
        <v>50</v>
      </c>
      <c r="D124" s="19">
        <v>46402</v>
      </c>
      <c r="E124" s="27">
        <v>0.06</v>
      </c>
      <c r="F124" s="27">
        <v>6.9375000000000006E-2</v>
      </c>
      <c r="G124" s="27"/>
      <c r="H124" s="27">
        <v>7.4999999999999997E-2</v>
      </c>
      <c r="I124" s="27"/>
      <c r="J124" s="28"/>
      <c r="K124" s="28"/>
      <c r="L124" s="22"/>
      <c r="M124" s="22">
        <v>261000</v>
      </c>
      <c r="N124" s="22"/>
      <c r="O124" s="22"/>
      <c r="P124" s="69"/>
      <c r="Q124" s="56"/>
      <c r="R124" s="56" t="e">
        <f>O124*J124/$O$43</f>
        <v>#DIV/0!</v>
      </c>
      <c r="S124" s="57">
        <f>O124*J124/$R$10</f>
        <v>0</v>
      </c>
      <c r="T124" s="57"/>
    </row>
    <row r="125" spans="1:20" ht="13.5" customHeight="1" x14ac:dyDescent="0.2">
      <c r="A125" s="16"/>
      <c r="B125" s="17"/>
      <c r="C125" s="18" t="s">
        <v>53</v>
      </c>
      <c r="D125" s="19">
        <v>50086</v>
      </c>
      <c r="E125" s="27">
        <v>6.0999999999999999E-2</v>
      </c>
      <c r="F125" s="27">
        <v>7.2812500000000002E-2</v>
      </c>
      <c r="G125" s="27"/>
      <c r="H125" s="27">
        <v>7.8750000000000001E-2</v>
      </c>
      <c r="I125" s="27"/>
      <c r="J125" s="28"/>
      <c r="K125" s="28"/>
      <c r="L125" s="22"/>
      <c r="M125" s="22">
        <v>150000</v>
      </c>
      <c r="N125" s="22"/>
      <c r="O125" s="22"/>
      <c r="P125" s="69"/>
      <c r="Q125" s="108"/>
      <c r="R125" s="56" t="e">
        <f>O125*J125/$O$43</f>
        <v>#DIV/0!</v>
      </c>
      <c r="S125" s="57">
        <f>O125*J125/$R$10</f>
        <v>0</v>
      </c>
      <c r="T125" s="57"/>
    </row>
    <row r="126" spans="1:20" ht="13.5" customHeight="1" x14ac:dyDescent="0.2">
      <c r="A126" s="60">
        <v>41088</v>
      </c>
      <c r="B126" s="61">
        <v>41088</v>
      </c>
      <c r="C126" s="18" t="s">
        <v>103</v>
      </c>
      <c r="D126" s="19">
        <v>42183</v>
      </c>
      <c r="E126" s="27">
        <v>5.21E-2</v>
      </c>
      <c r="F126" s="27"/>
      <c r="G126" s="27"/>
      <c r="H126" s="27"/>
      <c r="I126" s="27"/>
      <c r="J126" s="27"/>
      <c r="K126" s="28"/>
      <c r="L126" s="22">
        <v>2000000</v>
      </c>
      <c r="M126" s="22">
        <v>1000000</v>
      </c>
      <c r="N126" s="22">
        <v>1000000</v>
      </c>
      <c r="O126" s="22">
        <v>1000000</v>
      </c>
      <c r="P126" s="69">
        <f t="shared" ref="P126:P131" si="8">M126/O126</f>
        <v>1</v>
      </c>
      <c r="Q126" s="108"/>
      <c r="R126" s="56"/>
      <c r="S126" s="57"/>
      <c r="T126" s="57"/>
    </row>
    <row r="127" spans="1:20" ht="13.5" customHeight="1" x14ac:dyDescent="0.2">
      <c r="A127" s="60"/>
      <c r="B127" s="88"/>
      <c r="C127" s="18" t="s">
        <v>104</v>
      </c>
      <c r="D127" s="19">
        <v>44010</v>
      </c>
      <c r="E127" s="27">
        <v>6.2E-2</v>
      </c>
      <c r="F127" s="27"/>
      <c r="G127" s="27"/>
      <c r="H127" s="27"/>
      <c r="I127" s="27"/>
      <c r="J127" s="27"/>
      <c r="K127" s="165"/>
      <c r="L127" s="22"/>
      <c r="M127" s="22">
        <v>1000000</v>
      </c>
      <c r="N127" s="22">
        <v>1000000</v>
      </c>
      <c r="O127" s="22">
        <v>1000000</v>
      </c>
      <c r="P127" s="69">
        <f t="shared" si="8"/>
        <v>1</v>
      </c>
      <c r="Q127" s="108"/>
      <c r="R127" s="56"/>
      <c r="S127" s="57"/>
      <c r="T127" s="57"/>
    </row>
    <row r="128" spans="1:20" ht="13.5" customHeight="1" x14ac:dyDescent="0.2">
      <c r="A128" s="124">
        <v>41093</v>
      </c>
      <c r="B128" s="124">
        <v>41095</v>
      </c>
      <c r="C128" s="125" t="s">
        <v>88</v>
      </c>
      <c r="D128" s="126">
        <v>41459</v>
      </c>
      <c r="E128" s="127">
        <v>0</v>
      </c>
      <c r="F128" s="128">
        <v>4.4062499999999998E-2</v>
      </c>
      <c r="G128" s="128">
        <v>4.5443299999999999E-2</v>
      </c>
      <c r="H128" s="128">
        <v>4.6249999999999999E-2</v>
      </c>
      <c r="I128" s="128">
        <v>4.4062499999999998E-2</v>
      </c>
      <c r="J128" s="94">
        <v>4.4854900000000003E-2</v>
      </c>
      <c r="K128" s="94">
        <v>4.4999999999999998E-2</v>
      </c>
      <c r="L128" s="130">
        <v>6000000</v>
      </c>
      <c r="M128" s="130">
        <v>792700</v>
      </c>
      <c r="N128" s="130">
        <v>600000</v>
      </c>
      <c r="O128" s="130">
        <v>550000</v>
      </c>
      <c r="P128" s="97">
        <f t="shared" si="8"/>
        <v>1.4412727272727273</v>
      </c>
      <c r="Q128" s="132">
        <v>4.4999999999999998E-2</v>
      </c>
      <c r="R128" s="56"/>
      <c r="S128" s="57">
        <f>O128*J128/$R$10</f>
        <v>25280029.194119763</v>
      </c>
      <c r="T128" s="57"/>
    </row>
    <row r="129" spans="1:20" ht="13.5" customHeight="1" x14ac:dyDescent="0.2">
      <c r="A129" s="100"/>
      <c r="B129" s="99"/>
      <c r="C129" s="91" t="s">
        <v>35</v>
      </c>
      <c r="D129" s="92">
        <v>44696</v>
      </c>
      <c r="E129" s="94">
        <v>7.0000000000000007E-2</v>
      </c>
      <c r="F129" s="94">
        <v>6.0312499999999998E-2</v>
      </c>
      <c r="G129" s="94">
        <v>6.1586299999999997E-2</v>
      </c>
      <c r="H129" s="94">
        <v>6.3750000000000001E-2</v>
      </c>
      <c r="I129" s="94">
        <v>6.0312499999999998E-2</v>
      </c>
      <c r="J129" s="94">
        <v>6.0999699999999997E-2</v>
      </c>
      <c r="K129" s="94">
        <v>6.1249999999999999E-2</v>
      </c>
      <c r="L129" s="96"/>
      <c r="M129" s="96">
        <v>6483000</v>
      </c>
      <c r="N129" s="96">
        <v>3300000</v>
      </c>
      <c r="O129" s="96">
        <v>3300000</v>
      </c>
      <c r="P129" s="97">
        <f t="shared" si="8"/>
        <v>1.9645454545454546</v>
      </c>
      <c r="Q129" s="98">
        <v>6.0999999999999999E-2</v>
      </c>
      <c r="R129" s="56"/>
      <c r="S129" s="57"/>
      <c r="T129" s="57"/>
    </row>
    <row r="130" spans="1:20" ht="13.5" customHeight="1" x14ac:dyDescent="0.2">
      <c r="A130" s="100"/>
      <c r="B130" s="101"/>
      <c r="C130" s="91" t="s">
        <v>43</v>
      </c>
      <c r="D130" s="92">
        <v>46522</v>
      </c>
      <c r="E130" s="94">
        <v>7.0000000000000007E-2</v>
      </c>
      <c r="F130" s="94">
        <v>6.4062499999999994E-2</v>
      </c>
      <c r="G130" s="94">
        <v>6.55921E-2</v>
      </c>
      <c r="H130" s="94">
        <v>6.7187499999999997E-2</v>
      </c>
      <c r="I130" s="94">
        <v>6.4062499999999994E-2</v>
      </c>
      <c r="J130" s="94">
        <v>6.5096000000000001E-2</v>
      </c>
      <c r="K130" s="94">
        <v>6.5312499999999996E-2</v>
      </c>
      <c r="L130" s="96"/>
      <c r="M130" s="96">
        <v>3720000</v>
      </c>
      <c r="N130" s="96">
        <v>1900000</v>
      </c>
      <c r="O130" s="96">
        <v>1900000</v>
      </c>
      <c r="P130" s="97">
        <f t="shared" si="8"/>
        <v>1.9578947368421054</v>
      </c>
      <c r="Q130" s="98">
        <v>6.5100000000000005E-2</v>
      </c>
      <c r="R130" s="56">
        <v>0</v>
      </c>
      <c r="S130" s="57">
        <v>0</v>
      </c>
      <c r="T130" s="57"/>
    </row>
    <row r="131" spans="1:20" ht="13.5" customHeight="1" x14ac:dyDescent="0.2">
      <c r="A131" s="100"/>
      <c r="B131" s="101"/>
      <c r="C131" s="135" t="s">
        <v>32</v>
      </c>
      <c r="D131" s="136">
        <v>48380</v>
      </c>
      <c r="E131" s="138">
        <v>8.2500000000000004E-2</v>
      </c>
      <c r="F131" s="94">
        <v>6.7812499999999998E-2</v>
      </c>
      <c r="G131" s="94">
        <v>6.8797399999999995E-2</v>
      </c>
      <c r="H131" s="94">
        <v>7.0000000000000007E-2</v>
      </c>
      <c r="I131" s="94">
        <v>6.7812499999999998E-2</v>
      </c>
      <c r="J131" s="94">
        <v>6.8197900000000006E-2</v>
      </c>
      <c r="K131" s="94">
        <v>6.8437499999999998E-2</v>
      </c>
      <c r="L131" s="96"/>
      <c r="M131" s="96">
        <v>5491500</v>
      </c>
      <c r="N131" s="96">
        <v>1200000</v>
      </c>
      <c r="O131" s="96">
        <v>1200000</v>
      </c>
      <c r="P131" s="97">
        <f t="shared" si="8"/>
        <v>4.5762499999999999</v>
      </c>
      <c r="Q131" s="98">
        <v>6.8199999999999997E-2</v>
      </c>
      <c r="R131" s="56">
        <v>0</v>
      </c>
      <c r="S131" s="57">
        <v>0</v>
      </c>
      <c r="T131" s="57"/>
    </row>
    <row r="132" spans="1:20" ht="13.5" customHeight="1" x14ac:dyDescent="0.2">
      <c r="A132" s="60">
        <v>41100</v>
      </c>
      <c r="B132" s="61">
        <v>41102</v>
      </c>
      <c r="C132" s="18" t="s">
        <v>91</v>
      </c>
      <c r="D132" s="19"/>
      <c r="E132" s="104"/>
      <c r="F132" s="27">
        <v>0.04</v>
      </c>
      <c r="G132" s="27"/>
      <c r="H132" s="27">
        <v>0.05</v>
      </c>
      <c r="I132" s="27"/>
      <c r="J132" s="27"/>
      <c r="K132" s="28"/>
      <c r="L132" s="22">
        <v>1000000</v>
      </c>
      <c r="M132" s="22">
        <v>181000</v>
      </c>
      <c r="N132" s="22"/>
      <c r="O132" s="22"/>
      <c r="P132" s="69"/>
      <c r="Q132" s="56"/>
      <c r="R132" s="56"/>
      <c r="S132" s="57">
        <f>O132*J132/$R$10</f>
        <v>0</v>
      </c>
      <c r="T132" s="57"/>
    </row>
    <row r="133" spans="1:20" ht="13.5" customHeight="1" x14ac:dyDescent="0.2">
      <c r="A133" s="60"/>
      <c r="B133" s="88"/>
      <c r="C133" s="18" t="s">
        <v>48</v>
      </c>
      <c r="D133" s="19">
        <v>43146</v>
      </c>
      <c r="E133" s="104">
        <v>4.4499999999999998E-2</v>
      </c>
      <c r="F133" s="27">
        <v>5.8749999999999997E-2</v>
      </c>
      <c r="G133" s="27"/>
      <c r="H133" s="27">
        <v>6.7500000000000004E-2</v>
      </c>
      <c r="I133" s="27"/>
      <c r="J133" s="27"/>
      <c r="K133" s="28"/>
      <c r="L133" s="22"/>
      <c r="M133" s="22">
        <v>646000</v>
      </c>
      <c r="N133" s="22"/>
      <c r="O133" s="22"/>
      <c r="P133" s="69"/>
      <c r="Q133" s="56"/>
      <c r="R133" s="56"/>
      <c r="S133" s="57"/>
      <c r="T133" s="57"/>
    </row>
    <row r="134" spans="1:20" ht="13.5" customHeight="1" x14ac:dyDescent="0.2">
      <c r="A134" s="16"/>
      <c r="B134" s="17"/>
      <c r="C134" s="18" t="s">
        <v>49</v>
      </c>
      <c r="D134" s="19">
        <v>44576</v>
      </c>
      <c r="E134" s="104">
        <v>5.45E-2</v>
      </c>
      <c r="F134" s="27">
        <v>6.5000000000000002E-2</v>
      </c>
      <c r="G134" s="27"/>
      <c r="H134" s="27">
        <v>7.0000000000000007E-2</v>
      </c>
      <c r="I134" s="27"/>
      <c r="J134" s="28"/>
      <c r="K134" s="28"/>
      <c r="L134" s="22"/>
      <c r="M134" s="22">
        <v>131000</v>
      </c>
      <c r="N134" s="22"/>
      <c r="O134" s="22"/>
      <c r="P134" s="69"/>
      <c r="Q134" s="56"/>
      <c r="R134" s="56"/>
      <c r="S134" s="57"/>
      <c r="T134" s="57"/>
    </row>
    <row r="135" spans="1:20" ht="13.5" customHeight="1" x14ac:dyDescent="0.2">
      <c r="A135" s="16"/>
      <c r="B135" s="17"/>
      <c r="C135" s="18" t="s">
        <v>50</v>
      </c>
      <c r="D135" s="19">
        <v>46402</v>
      </c>
      <c r="E135" s="27">
        <v>0.06</v>
      </c>
      <c r="F135" s="27">
        <v>6.8750000000000006E-2</v>
      </c>
      <c r="G135" s="27"/>
      <c r="H135" s="27">
        <v>7.4999999999999997E-2</v>
      </c>
      <c r="I135" s="27"/>
      <c r="J135" s="28"/>
      <c r="K135" s="28"/>
      <c r="L135" s="22"/>
      <c r="M135" s="22">
        <v>96000</v>
      </c>
      <c r="N135" s="22"/>
      <c r="O135" s="22"/>
      <c r="P135" s="69"/>
      <c r="Q135" s="56"/>
      <c r="R135" s="56" t="e">
        <f>O135*J135/$O$43</f>
        <v>#DIV/0!</v>
      </c>
      <c r="S135" s="57">
        <f>O135*J135/$R$10</f>
        <v>0</v>
      </c>
      <c r="T135" s="57"/>
    </row>
    <row r="136" spans="1:20" ht="13.5" customHeight="1" x14ac:dyDescent="0.2">
      <c r="A136" s="16"/>
      <c r="B136" s="17"/>
      <c r="C136" s="18" t="s">
        <v>53</v>
      </c>
      <c r="D136" s="19">
        <v>50086</v>
      </c>
      <c r="E136" s="27">
        <v>6.0999999999999999E-2</v>
      </c>
      <c r="F136" s="27">
        <v>6.9687499999999999E-2</v>
      </c>
      <c r="G136" s="27"/>
      <c r="H136" s="27">
        <v>0.08</v>
      </c>
      <c r="I136" s="27"/>
      <c r="J136" s="28"/>
      <c r="K136" s="28"/>
      <c r="L136" s="22"/>
      <c r="M136" s="22">
        <v>163000</v>
      </c>
      <c r="N136" s="22"/>
      <c r="O136" s="22"/>
      <c r="P136" s="69"/>
      <c r="Q136" s="108"/>
      <c r="R136" s="56" t="e">
        <f>O136*J136/$O$43</f>
        <v>#DIV/0!</v>
      </c>
      <c r="S136" s="57">
        <f>O136*J136/$R$10</f>
        <v>0</v>
      </c>
      <c r="T136" s="57"/>
    </row>
    <row r="137" spans="1:20" ht="13.5" customHeight="1" x14ac:dyDescent="0.2">
      <c r="A137" s="124">
        <v>41107</v>
      </c>
      <c r="B137" s="124">
        <v>41109</v>
      </c>
      <c r="C137" s="125" t="s">
        <v>89</v>
      </c>
      <c r="D137" s="126">
        <v>41200</v>
      </c>
      <c r="E137" s="127">
        <v>0</v>
      </c>
      <c r="F137" s="128">
        <v>3.90625E-2</v>
      </c>
      <c r="G137" s="128">
        <v>4.1513099999999997E-2</v>
      </c>
      <c r="H137" s="128">
        <v>4.3749999999999997E-2</v>
      </c>
      <c r="I137" s="128">
        <v>3.90625E-2</v>
      </c>
      <c r="J137" s="129">
        <v>3.9890599999999998E-2</v>
      </c>
      <c r="K137" s="129">
        <v>0.04</v>
      </c>
      <c r="L137" s="130">
        <v>6000000</v>
      </c>
      <c r="M137" s="130">
        <v>4330000</v>
      </c>
      <c r="N137" s="130">
        <v>500000</v>
      </c>
      <c r="O137" s="130">
        <v>500000</v>
      </c>
      <c r="P137" s="97">
        <f t="shared" ref="P137:P148" si="9">M137/O137</f>
        <v>8.66</v>
      </c>
      <c r="Q137" s="132">
        <v>3.9899999999999998E-2</v>
      </c>
      <c r="R137" s="56"/>
      <c r="S137" s="57">
        <f>O137*J137/$R$10</f>
        <v>20438337.284544237</v>
      </c>
      <c r="T137" s="57"/>
    </row>
    <row r="138" spans="1:20" ht="13.5" customHeight="1" x14ac:dyDescent="0.2">
      <c r="A138" s="100"/>
      <c r="B138" s="99"/>
      <c r="C138" s="125" t="s">
        <v>90</v>
      </c>
      <c r="D138" s="126">
        <v>41459</v>
      </c>
      <c r="E138" s="93">
        <v>0</v>
      </c>
      <c r="F138" s="94">
        <v>4.2812500000000003E-2</v>
      </c>
      <c r="G138" s="94">
        <v>4.5234900000000001E-2</v>
      </c>
      <c r="H138" s="94">
        <v>4.7500000000000001E-2</v>
      </c>
      <c r="I138" s="94">
        <v>4.2812500000000003E-2</v>
      </c>
      <c r="J138" s="95">
        <v>4.4053799999999997E-2</v>
      </c>
      <c r="K138" s="95">
        <v>4.4062499999999998E-2</v>
      </c>
      <c r="L138" s="96"/>
      <c r="M138" s="96">
        <v>2654500</v>
      </c>
      <c r="N138" s="96">
        <v>1850000</v>
      </c>
      <c r="O138" s="96">
        <v>1000000</v>
      </c>
      <c r="P138" s="97">
        <f t="shared" si="9"/>
        <v>2.6545000000000001</v>
      </c>
      <c r="Q138" s="98">
        <v>4.4999999999999998E-2</v>
      </c>
      <c r="R138" s="56"/>
      <c r="S138" s="57"/>
      <c r="T138" s="57"/>
    </row>
    <row r="139" spans="1:20" ht="13.5" customHeight="1" x14ac:dyDescent="0.2">
      <c r="A139" s="100"/>
      <c r="B139" s="101"/>
      <c r="C139" s="91" t="s">
        <v>34</v>
      </c>
      <c r="D139" s="92">
        <v>42840</v>
      </c>
      <c r="E139" s="94">
        <v>6.25E-2</v>
      </c>
      <c r="F139" s="94">
        <v>5.3749999999999999E-2</v>
      </c>
      <c r="G139" s="94">
        <v>5.5510999999999998E-2</v>
      </c>
      <c r="H139" s="94">
        <v>0.06</v>
      </c>
      <c r="I139" s="94">
        <v>5.3749999999999999E-2</v>
      </c>
      <c r="J139" s="95">
        <v>5.4689300000000003E-2</v>
      </c>
      <c r="K139" s="95">
        <v>5.5E-2</v>
      </c>
      <c r="L139" s="96"/>
      <c r="M139" s="96">
        <v>2800000</v>
      </c>
      <c r="N139" s="96">
        <v>1250000</v>
      </c>
      <c r="O139" s="96">
        <v>1250000</v>
      </c>
      <c r="P139" s="97">
        <f t="shared" si="9"/>
        <v>2.2400000000000002</v>
      </c>
      <c r="Q139" s="98">
        <v>5.4699999999999999E-2</v>
      </c>
      <c r="R139" s="56">
        <v>0</v>
      </c>
      <c r="S139" s="57">
        <v>0</v>
      </c>
      <c r="T139" s="57"/>
    </row>
    <row r="140" spans="1:20" ht="13.5" customHeight="1" x14ac:dyDescent="0.2">
      <c r="A140" s="100"/>
      <c r="B140" s="101"/>
      <c r="C140" s="91" t="s">
        <v>32</v>
      </c>
      <c r="D140" s="155">
        <v>48380</v>
      </c>
      <c r="E140" s="156">
        <v>8.2500000000000004E-2</v>
      </c>
      <c r="F140" s="94">
        <v>6.5625000000000003E-2</v>
      </c>
      <c r="G140" s="94">
        <v>6.7163299999999995E-2</v>
      </c>
      <c r="H140" s="94">
        <v>6.8750000000000006E-2</v>
      </c>
      <c r="I140" s="94">
        <v>6.5625000000000003E-2</v>
      </c>
      <c r="J140" s="94">
        <v>6.6704799999999995E-2</v>
      </c>
      <c r="K140" s="94">
        <v>6.6875000000000004E-2</v>
      </c>
      <c r="L140" s="96"/>
      <c r="M140" s="96">
        <v>12502200</v>
      </c>
      <c r="N140" s="96">
        <v>6450000</v>
      </c>
      <c r="O140" s="96">
        <v>4500000</v>
      </c>
      <c r="P140" s="97">
        <f t="shared" si="9"/>
        <v>2.7782666666666667</v>
      </c>
      <c r="Q140" s="98">
        <v>6.6799999999999998E-2</v>
      </c>
      <c r="R140" s="56">
        <v>0</v>
      </c>
      <c r="S140" s="57">
        <v>0</v>
      </c>
      <c r="T140" s="57"/>
    </row>
    <row r="141" spans="1:20" ht="13.5" customHeight="1" x14ac:dyDescent="0.2">
      <c r="A141" s="133"/>
      <c r="B141" s="153"/>
      <c r="C141" s="135" t="s">
        <v>47</v>
      </c>
      <c r="D141" s="136">
        <v>51971</v>
      </c>
      <c r="E141" s="138">
        <v>6.3750000000000001E-2</v>
      </c>
      <c r="F141" s="138">
        <v>6.5000000000000002E-2</v>
      </c>
      <c r="G141" s="138">
        <v>6.9052799999999998E-2</v>
      </c>
      <c r="H141" s="138">
        <v>7.2499999999999995E-2</v>
      </c>
      <c r="I141" s="138">
        <v>6.5000000000000002E-2</v>
      </c>
      <c r="J141" s="139">
        <v>6.7993499999999998E-2</v>
      </c>
      <c r="K141" s="139">
        <v>6.8750000000000006E-2</v>
      </c>
      <c r="L141" s="140"/>
      <c r="M141" s="140">
        <v>5403000</v>
      </c>
      <c r="N141" s="140">
        <v>1750000</v>
      </c>
      <c r="O141" s="140">
        <v>1750000</v>
      </c>
      <c r="P141" s="141">
        <f t="shared" si="9"/>
        <v>3.0874285714285716</v>
      </c>
      <c r="Q141" s="142">
        <v>6.8000000000000005E-2</v>
      </c>
      <c r="R141" s="56">
        <v>1.9887751488813776E-3</v>
      </c>
      <c r="S141" s="57">
        <v>29293528.561597757</v>
      </c>
      <c r="T141" s="62"/>
    </row>
    <row r="142" spans="1:20" ht="13.5" customHeight="1" x14ac:dyDescent="0.2">
      <c r="A142" s="60">
        <v>41114</v>
      </c>
      <c r="B142" s="61">
        <v>41116</v>
      </c>
      <c r="C142" s="18" t="s">
        <v>97</v>
      </c>
      <c r="D142" s="19"/>
      <c r="E142" s="104"/>
      <c r="F142" s="27">
        <v>4.1562500000000002E-2</v>
      </c>
      <c r="G142" s="27"/>
      <c r="H142" s="27">
        <v>0.05</v>
      </c>
      <c r="I142" s="27"/>
      <c r="J142" s="27"/>
      <c r="K142" s="28"/>
      <c r="L142" s="22">
        <v>1000000</v>
      </c>
      <c r="M142" s="22">
        <v>341000</v>
      </c>
      <c r="N142" s="22"/>
      <c r="O142" s="22"/>
      <c r="P142" s="69"/>
      <c r="Q142" s="56"/>
      <c r="R142" s="56"/>
      <c r="S142" s="57">
        <f>O142*J142/$R$10</f>
        <v>0</v>
      </c>
      <c r="T142" s="57"/>
    </row>
    <row r="143" spans="1:20" ht="13.5" customHeight="1" x14ac:dyDescent="0.2">
      <c r="A143" s="60"/>
      <c r="B143" s="88"/>
      <c r="C143" s="18" t="s">
        <v>48</v>
      </c>
      <c r="D143" s="19">
        <v>43146</v>
      </c>
      <c r="E143" s="104">
        <v>4.4499999999999998E-2</v>
      </c>
      <c r="F143" s="27">
        <v>5.6250000000000001E-2</v>
      </c>
      <c r="G143" s="27"/>
      <c r="H143" s="27">
        <v>6.2812499999999993E-2</v>
      </c>
      <c r="I143" s="27"/>
      <c r="J143" s="27"/>
      <c r="K143" s="28"/>
      <c r="L143" s="22"/>
      <c r="M143" s="22">
        <v>731000</v>
      </c>
      <c r="N143" s="22"/>
      <c r="O143" s="22"/>
      <c r="P143" s="69"/>
      <c r="Q143" s="56"/>
      <c r="R143" s="56"/>
      <c r="S143" s="57"/>
      <c r="T143" s="57"/>
    </row>
    <row r="144" spans="1:20" ht="13.5" customHeight="1" x14ac:dyDescent="0.2">
      <c r="A144" s="16"/>
      <c r="B144" s="17"/>
      <c r="C144" s="18" t="s">
        <v>49</v>
      </c>
      <c r="D144" s="19">
        <v>44576</v>
      </c>
      <c r="E144" s="104">
        <v>5.45E-2</v>
      </c>
      <c r="F144" s="27">
        <v>6.25E-2</v>
      </c>
      <c r="G144" s="27"/>
      <c r="H144" s="27">
        <v>6.6250000000000003E-2</v>
      </c>
      <c r="I144" s="27"/>
      <c r="J144" s="28"/>
      <c r="K144" s="28"/>
      <c r="L144" s="22"/>
      <c r="M144" s="22">
        <v>291000</v>
      </c>
      <c r="N144" s="22"/>
      <c r="O144" s="22"/>
      <c r="P144" s="69"/>
      <c r="Q144" s="56"/>
      <c r="R144" s="56"/>
      <c r="S144" s="57"/>
      <c r="T144" s="57"/>
    </row>
    <row r="145" spans="1:20" ht="13.5" customHeight="1" x14ac:dyDescent="0.2">
      <c r="A145" s="16"/>
      <c r="B145" s="17"/>
      <c r="C145" s="18" t="s">
        <v>50</v>
      </c>
      <c r="D145" s="19">
        <v>46402</v>
      </c>
      <c r="E145" s="27">
        <v>0.06</v>
      </c>
      <c r="F145" s="27">
        <v>6.6875000000000004E-2</v>
      </c>
      <c r="G145" s="27"/>
      <c r="H145" s="27">
        <v>7.0000000000000007E-2</v>
      </c>
      <c r="I145" s="27"/>
      <c r="J145" s="28"/>
      <c r="K145" s="28"/>
      <c r="L145" s="22"/>
      <c r="M145" s="22">
        <v>106000</v>
      </c>
      <c r="N145" s="22"/>
      <c r="O145" s="22"/>
      <c r="P145" s="69"/>
      <c r="Q145" s="56"/>
      <c r="R145" s="56" t="e">
        <f>O145*J145/$O$43</f>
        <v>#DIV/0!</v>
      </c>
      <c r="S145" s="57">
        <f>O145*J145/$R$10</f>
        <v>0</v>
      </c>
      <c r="T145" s="57"/>
    </row>
    <row r="146" spans="1:20" ht="13.5" customHeight="1" x14ac:dyDescent="0.2">
      <c r="A146" s="16"/>
      <c r="B146" s="17"/>
      <c r="C146" s="18" t="s">
        <v>53</v>
      </c>
      <c r="D146" s="19">
        <v>50086</v>
      </c>
      <c r="E146" s="27">
        <v>6.0999999999999999E-2</v>
      </c>
      <c r="F146" s="27">
        <v>6.6562499999999997E-2</v>
      </c>
      <c r="G146" s="27"/>
      <c r="H146" s="27">
        <v>7.3749999999999996E-2</v>
      </c>
      <c r="I146" s="27"/>
      <c r="J146" s="28"/>
      <c r="K146" s="28"/>
      <c r="L146" s="22"/>
      <c r="M146" s="22">
        <v>530000</v>
      </c>
      <c r="N146" s="22"/>
      <c r="O146" s="22">
        <v>460000</v>
      </c>
      <c r="P146" s="69">
        <f>M146/O146</f>
        <v>1.1521739130434783</v>
      </c>
      <c r="Q146" s="108"/>
      <c r="R146" s="56" t="e">
        <f>O146*J146/$O$43</f>
        <v>#DIV/0!</v>
      </c>
      <c r="S146" s="57">
        <f>O146*J146/$R$10</f>
        <v>0</v>
      </c>
      <c r="T146" s="57"/>
    </row>
    <row r="147" spans="1:20" ht="13.5" customHeight="1" x14ac:dyDescent="0.2">
      <c r="A147" s="124">
        <v>41128</v>
      </c>
      <c r="B147" s="124">
        <v>41130</v>
      </c>
      <c r="C147" s="125" t="s">
        <v>96</v>
      </c>
      <c r="D147" s="126"/>
      <c r="E147" s="94"/>
      <c r="F147" s="128">
        <v>4.6249999999999999E-2</v>
      </c>
      <c r="G147" s="128"/>
      <c r="H147" s="128">
        <v>0.05</v>
      </c>
      <c r="I147" s="128"/>
      <c r="J147" s="94"/>
      <c r="K147" s="94"/>
      <c r="L147" s="130">
        <v>1000000</v>
      </c>
      <c r="M147" s="130">
        <v>336000</v>
      </c>
      <c r="N147" s="130"/>
      <c r="O147" s="130"/>
      <c r="P147" s="97"/>
      <c r="Q147" s="132"/>
      <c r="R147" s="56"/>
      <c r="S147" s="57">
        <f>O147*J147/$R$10</f>
        <v>0</v>
      </c>
      <c r="T147" s="57"/>
    </row>
    <row r="148" spans="1:20" ht="13.5" customHeight="1" x14ac:dyDescent="0.2">
      <c r="A148" s="89"/>
      <c r="B148" s="89"/>
      <c r="C148" s="91" t="s">
        <v>48</v>
      </c>
      <c r="D148" s="92">
        <v>43146</v>
      </c>
      <c r="E148" s="94">
        <v>4.4499999999999998E-2</v>
      </c>
      <c r="F148" s="94">
        <v>5.6562500000000002E-2</v>
      </c>
      <c r="G148" s="94"/>
      <c r="H148" s="94">
        <v>6.25E-2</v>
      </c>
      <c r="I148" s="94">
        <v>5.6562500000000002E-2</v>
      </c>
      <c r="J148" s="94">
        <v>5.6596E-2</v>
      </c>
      <c r="K148" s="94"/>
      <c r="L148" s="96"/>
      <c r="M148" s="96">
        <v>726000</v>
      </c>
      <c r="N148" s="96"/>
      <c r="O148" s="96">
        <v>40000</v>
      </c>
      <c r="P148" s="97">
        <f t="shared" si="9"/>
        <v>18.149999999999999</v>
      </c>
      <c r="Q148" s="98"/>
      <c r="R148" s="56"/>
      <c r="S148" s="57"/>
      <c r="T148" s="57"/>
    </row>
    <row r="149" spans="1:20" ht="13.5" customHeight="1" x14ac:dyDescent="0.2">
      <c r="A149" s="89"/>
      <c r="B149" s="89"/>
      <c r="C149" s="91" t="s">
        <v>49</v>
      </c>
      <c r="D149" s="92">
        <v>44576</v>
      </c>
      <c r="E149" s="94">
        <v>5.45E-2</v>
      </c>
      <c r="F149" s="94">
        <v>6.0937499999999999E-2</v>
      </c>
      <c r="G149" s="94"/>
      <c r="H149" s="94">
        <v>6.5000000000000002E-2</v>
      </c>
      <c r="I149" s="94"/>
      <c r="J149" s="94"/>
      <c r="K149" s="94"/>
      <c r="L149" s="96"/>
      <c r="M149" s="96">
        <v>176000</v>
      </c>
      <c r="N149" s="96"/>
      <c r="O149" s="96"/>
      <c r="P149" s="97"/>
      <c r="Q149" s="98"/>
      <c r="R149" s="56"/>
      <c r="S149" s="57"/>
      <c r="T149" s="57"/>
    </row>
    <row r="150" spans="1:20" ht="13.5" customHeight="1" x14ac:dyDescent="0.2">
      <c r="A150" s="89"/>
      <c r="B150" s="89"/>
      <c r="C150" s="91" t="s">
        <v>50</v>
      </c>
      <c r="D150" s="92">
        <v>46402</v>
      </c>
      <c r="E150" s="94">
        <v>0.06</v>
      </c>
      <c r="F150" s="94">
        <v>6.5937499999999996E-2</v>
      </c>
      <c r="G150" s="94"/>
      <c r="H150" s="94">
        <v>7.0000000000000007E-2</v>
      </c>
      <c r="I150" s="94"/>
      <c r="J150" s="94"/>
      <c r="K150" s="94"/>
      <c r="L150" s="96"/>
      <c r="M150" s="96">
        <v>106000</v>
      </c>
      <c r="N150" s="96"/>
      <c r="O150" s="96"/>
      <c r="P150" s="97"/>
      <c r="Q150" s="98"/>
      <c r="R150" s="56" t="e">
        <f>O150*J150/$O$43</f>
        <v>#DIV/0!</v>
      </c>
      <c r="S150" s="57">
        <f>O150*J150/$R$10</f>
        <v>0</v>
      </c>
      <c r="T150" s="57"/>
    </row>
    <row r="151" spans="1:20" ht="13.5" customHeight="1" x14ac:dyDescent="0.2">
      <c r="A151" s="89"/>
      <c r="B151" s="89"/>
      <c r="C151" s="91" t="s">
        <v>53</v>
      </c>
      <c r="D151" s="92">
        <v>50086</v>
      </c>
      <c r="E151" s="94">
        <v>6.0999999999999999E-2</v>
      </c>
      <c r="F151" s="94">
        <v>6.6562499999999997E-2</v>
      </c>
      <c r="G151" s="94"/>
      <c r="H151" s="94">
        <v>7.3749999999999996E-2</v>
      </c>
      <c r="I151" s="94">
        <v>6.6562499999999997E-2</v>
      </c>
      <c r="J151" s="94">
        <v>6.7161600000000002E-2</v>
      </c>
      <c r="K151" s="94"/>
      <c r="L151" s="96"/>
      <c r="M151" s="96">
        <v>589000</v>
      </c>
      <c r="N151" s="96"/>
      <c r="O151" s="96">
        <v>500000</v>
      </c>
      <c r="P151" s="97">
        <f>M151/O151</f>
        <v>1.1779999999999999</v>
      </c>
      <c r="Q151" s="98"/>
      <c r="R151" s="56" t="e">
        <f>O151*J151/$O$43</f>
        <v>#DIV/0!</v>
      </c>
      <c r="S151" s="57">
        <f>O151*J151/$R$10</f>
        <v>34410899.644769609</v>
      </c>
      <c r="T151" s="57"/>
    </row>
    <row r="152" spans="1:20" s="71" customFormat="1" ht="13.5" customHeight="1" x14ac:dyDescent="0.2">
      <c r="A152" s="76">
        <v>41130</v>
      </c>
      <c r="B152" s="76">
        <v>41134</v>
      </c>
      <c r="C152" s="77" t="s">
        <v>92</v>
      </c>
      <c r="D152" s="78">
        <v>41225</v>
      </c>
      <c r="E152" s="66"/>
      <c r="F152" s="80">
        <v>3.90625E-2</v>
      </c>
      <c r="G152" s="80">
        <v>4.0763199999999999E-2</v>
      </c>
      <c r="H152" s="80">
        <v>4.2187500000000003E-2</v>
      </c>
      <c r="I152" s="80">
        <v>3.90625E-2</v>
      </c>
      <c r="J152" s="66">
        <v>4.04886E-2</v>
      </c>
      <c r="K152" s="66">
        <v>4.1250000000000002E-2</v>
      </c>
      <c r="L152" s="82">
        <v>6000000</v>
      </c>
      <c r="M152" s="82">
        <v>1169000</v>
      </c>
      <c r="N152" s="82">
        <v>850000</v>
      </c>
      <c r="O152" s="82">
        <v>850000</v>
      </c>
      <c r="P152" s="69">
        <f>M152/O152</f>
        <v>1.3752941176470588</v>
      </c>
      <c r="Q152" s="157">
        <v>4.0500000000000001E-2</v>
      </c>
      <c r="R152" s="108"/>
      <c r="S152" s="158">
        <f>O152*J152/$R$10</f>
        <v>35266038.291334204</v>
      </c>
      <c r="T152" s="158"/>
    </row>
    <row r="153" spans="1:20" s="71" customFormat="1" ht="13.5" customHeight="1" x14ac:dyDescent="0.2">
      <c r="A153" s="73"/>
      <c r="B153" s="73"/>
      <c r="C153" s="64" t="s">
        <v>93</v>
      </c>
      <c r="D153" s="65">
        <v>41498</v>
      </c>
      <c r="E153" s="66"/>
      <c r="F153" s="66">
        <v>4.3124999999999997E-2</v>
      </c>
      <c r="G153" s="66">
        <v>4.5221900000000002E-2</v>
      </c>
      <c r="H153" s="66">
        <v>4.6875E-2</v>
      </c>
      <c r="I153" s="66">
        <v>4.3124999999999997E-2</v>
      </c>
      <c r="J153" s="66">
        <v>4.4704199999999999E-2</v>
      </c>
      <c r="K153" s="66">
        <v>4.5312499999999999E-2</v>
      </c>
      <c r="L153" s="68"/>
      <c r="M153" s="68">
        <v>531000</v>
      </c>
      <c r="N153" s="68">
        <v>500000</v>
      </c>
      <c r="O153" s="68">
        <v>450000</v>
      </c>
      <c r="P153" s="69">
        <f>M153/O153</f>
        <v>1.18</v>
      </c>
      <c r="Q153" s="108">
        <v>4.4999999999999998E-2</v>
      </c>
      <c r="R153" s="108"/>
      <c r="S153" s="158"/>
      <c r="T153" s="158"/>
    </row>
    <row r="154" spans="1:20" s="71" customFormat="1" ht="13.5" customHeight="1" x14ac:dyDescent="0.2">
      <c r="A154" s="73"/>
      <c r="B154" s="73"/>
      <c r="C154" s="64" t="s">
        <v>94</v>
      </c>
      <c r="D154" s="65">
        <v>45061</v>
      </c>
      <c r="E154" s="66">
        <v>5.6250000000000001E-2</v>
      </c>
      <c r="F154" s="66">
        <v>5.6250000000000001E-2</v>
      </c>
      <c r="G154" s="66">
        <v>5.8444999999999997E-2</v>
      </c>
      <c r="H154" s="66">
        <v>6.21875E-2</v>
      </c>
      <c r="I154" s="66">
        <v>5.6250000000000001E-2</v>
      </c>
      <c r="J154" s="66">
        <v>5.78474E-2</v>
      </c>
      <c r="K154" s="66">
        <v>5.8125000000000003E-2</v>
      </c>
      <c r="L154" s="68"/>
      <c r="M154" s="68">
        <v>7471300</v>
      </c>
      <c r="N154" s="68">
        <v>4950000</v>
      </c>
      <c r="O154" s="68">
        <v>3100000</v>
      </c>
      <c r="P154" s="69">
        <f>M154/O154</f>
        <v>2.4100967741935482</v>
      </c>
      <c r="Q154" s="108">
        <v>5.8000000000000003E-2</v>
      </c>
      <c r="R154" s="108">
        <v>0</v>
      </c>
      <c r="S154" s="158">
        <v>0</v>
      </c>
      <c r="T154" s="158"/>
    </row>
    <row r="155" spans="1:20" s="71" customFormat="1" ht="13.5" customHeight="1" x14ac:dyDescent="0.2">
      <c r="A155" s="73"/>
      <c r="B155" s="73"/>
      <c r="C155" s="64" t="s">
        <v>95</v>
      </c>
      <c r="D155" s="65">
        <v>46888</v>
      </c>
      <c r="E155" s="66">
        <v>6.1249999999999999E-2</v>
      </c>
      <c r="F155" s="66">
        <v>6.1249999999999999E-2</v>
      </c>
      <c r="G155" s="66">
        <v>6.3324000000000005E-2</v>
      </c>
      <c r="H155" s="66">
        <v>6.5937499999999996E-2</v>
      </c>
      <c r="I155" s="66">
        <v>6.1249999999999999E-2</v>
      </c>
      <c r="J155" s="66">
        <v>6.2920799999999999E-2</v>
      </c>
      <c r="K155" s="66">
        <v>6.3125000000000001E-2</v>
      </c>
      <c r="L155" s="68"/>
      <c r="M155" s="68">
        <v>7838200</v>
      </c>
      <c r="N155" s="68">
        <v>7838200</v>
      </c>
      <c r="O155" s="68">
        <v>4600000</v>
      </c>
      <c r="P155" s="69">
        <f>M155/O155</f>
        <v>1.7039565217391304</v>
      </c>
      <c r="Q155" s="108">
        <v>6.3500000000000001E-2</v>
      </c>
      <c r="R155" s="108">
        <v>0</v>
      </c>
      <c r="S155" s="158">
        <v>0</v>
      </c>
      <c r="T155" s="158"/>
    </row>
    <row r="156" spans="1:20" s="71" customFormat="1" ht="13.5" customHeight="1" x14ac:dyDescent="0.2">
      <c r="A156" s="73"/>
      <c r="B156" s="73"/>
      <c r="C156" s="64" t="s">
        <v>47</v>
      </c>
      <c r="D156" s="65">
        <v>51971</v>
      </c>
      <c r="E156" s="66">
        <v>6.3750000000000001E-2</v>
      </c>
      <c r="F156" s="66">
        <v>6.5000000000000002E-2</v>
      </c>
      <c r="G156" s="66">
        <v>6.6420800000000002E-2</v>
      </c>
      <c r="H156" s="66">
        <v>6.8437499999999998E-2</v>
      </c>
      <c r="I156" s="66"/>
      <c r="J156" s="66"/>
      <c r="K156" s="66"/>
      <c r="L156" s="68"/>
      <c r="M156" s="68">
        <v>3007000</v>
      </c>
      <c r="N156" s="68">
        <v>300000</v>
      </c>
      <c r="O156" s="68"/>
      <c r="P156" s="69"/>
      <c r="Q156" s="108">
        <v>6.5299999999999997E-2</v>
      </c>
      <c r="R156" s="108">
        <v>1.9887751488813776E-3</v>
      </c>
      <c r="S156" s="158">
        <v>29293528.561597757</v>
      </c>
      <c r="T156" s="158"/>
    </row>
    <row r="157" spans="1:20" ht="13.5" customHeight="1" x14ac:dyDescent="0.2">
      <c r="A157" s="124">
        <v>41149</v>
      </c>
      <c r="B157" s="124">
        <v>41151</v>
      </c>
      <c r="C157" s="91" t="s">
        <v>93</v>
      </c>
      <c r="D157" s="92">
        <v>41498</v>
      </c>
      <c r="E157" s="94"/>
      <c r="F157" s="128">
        <v>4.3749999999999997E-2</v>
      </c>
      <c r="G157" s="128">
        <v>4.8259900000000001E-2</v>
      </c>
      <c r="H157" s="128">
        <v>0.05</v>
      </c>
      <c r="I157" s="128">
        <v>4.3749999999999997E-2</v>
      </c>
      <c r="J157" s="94">
        <v>4.5231199999999999E-2</v>
      </c>
      <c r="K157" s="94">
        <v>4.6249999999999999E-2</v>
      </c>
      <c r="L157" s="130">
        <v>6000000</v>
      </c>
      <c r="M157" s="130">
        <v>666300</v>
      </c>
      <c r="N157" s="130">
        <v>666300</v>
      </c>
      <c r="O157" s="130">
        <v>540000</v>
      </c>
      <c r="P157" s="97">
        <f t="shared" ref="P157:P166" si="10">M157/O157</f>
        <v>1.2338888888888888</v>
      </c>
      <c r="Q157" s="132">
        <v>4.9000000000000002E-2</v>
      </c>
      <c r="R157" s="56"/>
      <c r="S157" s="57">
        <f>O157*J157/$R$10</f>
        <v>25028617.345827125</v>
      </c>
      <c r="T157" s="57"/>
    </row>
    <row r="158" spans="1:20" ht="13.5" customHeight="1" x14ac:dyDescent="0.2">
      <c r="A158" s="89"/>
      <c r="B158" s="89"/>
      <c r="C158" s="91" t="s">
        <v>34</v>
      </c>
      <c r="D158" s="92">
        <v>42840</v>
      </c>
      <c r="E158" s="94">
        <v>6.25E-2</v>
      </c>
      <c r="F158" s="94">
        <v>5.5625000000000001E-2</v>
      </c>
      <c r="G158" s="94">
        <v>5.6602699999999999E-2</v>
      </c>
      <c r="H158" s="94">
        <v>0.06</v>
      </c>
      <c r="I158" s="94">
        <v>5.5625000000000001E-2</v>
      </c>
      <c r="J158" s="94">
        <v>5.5915199999999998E-2</v>
      </c>
      <c r="K158" s="94">
        <v>5.6250000000000001E-2</v>
      </c>
      <c r="L158" s="96"/>
      <c r="M158" s="96">
        <v>887000</v>
      </c>
      <c r="N158" s="96">
        <v>600000</v>
      </c>
      <c r="O158" s="96">
        <v>350000</v>
      </c>
      <c r="P158" s="97">
        <f t="shared" si="10"/>
        <v>2.5342857142857143</v>
      </c>
      <c r="Q158" s="98">
        <v>4.65E-2</v>
      </c>
      <c r="R158" s="56"/>
      <c r="S158" s="57"/>
      <c r="T158" s="57"/>
    </row>
    <row r="159" spans="1:20" ht="13.5" customHeight="1" x14ac:dyDescent="0.2">
      <c r="A159" s="89"/>
      <c r="B159" s="89"/>
      <c r="C159" s="91" t="s">
        <v>94</v>
      </c>
      <c r="D159" s="92">
        <v>45061</v>
      </c>
      <c r="E159" s="94">
        <v>5.6250000000000001E-2</v>
      </c>
      <c r="F159" s="94">
        <v>6.1562499999999999E-2</v>
      </c>
      <c r="G159" s="94">
        <v>6.2457400000000003E-2</v>
      </c>
      <c r="H159" s="94">
        <v>6.5312499999999996E-2</v>
      </c>
      <c r="I159" s="94"/>
      <c r="J159" s="94"/>
      <c r="K159" s="94"/>
      <c r="L159" s="96"/>
      <c r="M159" s="96">
        <v>1530000</v>
      </c>
      <c r="N159" s="96"/>
      <c r="O159" s="96"/>
      <c r="P159" s="97"/>
      <c r="Q159" s="98">
        <v>6.1499999999999999E-2</v>
      </c>
      <c r="R159" s="56">
        <v>0</v>
      </c>
      <c r="S159" s="57">
        <v>0</v>
      </c>
      <c r="T159" s="57"/>
    </row>
    <row r="160" spans="1:20" ht="13.5" customHeight="1" x14ac:dyDescent="0.2">
      <c r="A160" s="89"/>
      <c r="B160" s="89"/>
      <c r="C160" s="91" t="s">
        <v>98</v>
      </c>
      <c r="D160" s="92">
        <v>48714</v>
      </c>
      <c r="E160" s="94">
        <v>6.6250000000000003E-2</v>
      </c>
      <c r="F160" s="94">
        <v>6.7812499999999998E-2</v>
      </c>
      <c r="G160" s="94">
        <v>6.9155700000000001E-2</v>
      </c>
      <c r="H160" s="94">
        <v>7.2499999999999995E-2</v>
      </c>
      <c r="I160" s="94">
        <v>6.7812499999999998E-2</v>
      </c>
      <c r="J160" s="94">
        <v>6.8855E-2</v>
      </c>
      <c r="K160" s="94">
        <v>6.9062499999999999E-2</v>
      </c>
      <c r="L160" s="96"/>
      <c r="M160" s="96">
        <v>4284500</v>
      </c>
      <c r="N160" s="96">
        <v>3200000</v>
      </c>
      <c r="O160" s="96">
        <v>2950000</v>
      </c>
      <c r="P160" s="97">
        <f t="shared" si="10"/>
        <v>1.4523728813559322</v>
      </c>
      <c r="Q160" s="98">
        <v>6.8900000000000003E-2</v>
      </c>
      <c r="R160" s="56">
        <v>0</v>
      </c>
      <c r="S160" s="57">
        <v>0</v>
      </c>
      <c r="T160" s="57"/>
    </row>
    <row r="161" spans="1:20" ht="13.5" customHeight="1" x14ac:dyDescent="0.2">
      <c r="A161" s="89"/>
      <c r="B161" s="89"/>
      <c r="C161" s="91" t="s">
        <v>47</v>
      </c>
      <c r="D161" s="92">
        <v>51971</v>
      </c>
      <c r="E161" s="94">
        <v>6.3750000000000001E-2</v>
      </c>
      <c r="F161" s="94">
        <v>6.8437499999999998E-2</v>
      </c>
      <c r="G161" s="94">
        <v>6.9570300000000002E-2</v>
      </c>
      <c r="H161" s="94">
        <v>7.1249999999999994E-2</v>
      </c>
      <c r="I161" s="94"/>
      <c r="J161" s="94"/>
      <c r="K161" s="94"/>
      <c r="L161" s="96"/>
      <c r="M161" s="96">
        <v>1149500</v>
      </c>
      <c r="N161" s="96">
        <v>100000</v>
      </c>
      <c r="O161" s="96"/>
      <c r="P161" s="97"/>
      <c r="Q161" s="98">
        <v>6.8500000000000005E-2</v>
      </c>
      <c r="R161" s="56">
        <v>1.9887751488813776E-3</v>
      </c>
      <c r="S161" s="57">
        <v>29293528.561597757</v>
      </c>
      <c r="T161" s="57"/>
    </row>
    <row r="162" spans="1:20" s="71" customFormat="1" ht="13.5" customHeight="1" x14ac:dyDescent="0.2">
      <c r="A162" s="76">
        <v>41156</v>
      </c>
      <c r="B162" s="76">
        <v>41158</v>
      </c>
      <c r="C162" s="77" t="s">
        <v>102</v>
      </c>
      <c r="D162" s="78"/>
      <c r="E162" s="66"/>
      <c r="F162" s="80">
        <v>4.3749999999999997E-2</v>
      </c>
      <c r="G162" s="80"/>
      <c r="H162" s="80">
        <v>0.05</v>
      </c>
      <c r="I162" s="80"/>
      <c r="J162" s="66"/>
      <c r="K162" s="66"/>
      <c r="L162" s="82">
        <v>1000000</v>
      </c>
      <c r="M162" s="82">
        <v>182000</v>
      </c>
      <c r="N162" s="82"/>
      <c r="O162" s="82"/>
      <c r="P162" s="69"/>
      <c r="Q162" s="157"/>
      <c r="R162" s="108"/>
      <c r="S162" s="158">
        <f>O162*J162/$R$10</f>
        <v>0</v>
      </c>
      <c r="T162" s="158"/>
    </row>
    <row r="163" spans="1:20" s="71" customFormat="1" ht="13.5" customHeight="1" x14ac:dyDescent="0.2">
      <c r="A163" s="73"/>
      <c r="B163" s="73"/>
      <c r="C163" s="64" t="s">
        <v>48</v>
      </c>
      <c r="D163" s="65">
        <v>43146</v>
      </c>
      <c r="E163" s="66">
        <v>4.4499999999999998E-2</v>
      </c>
      <c r="F163" s="66">
        <v>5.7812500000000003E-2</v>
      </c>
      <c r="G163" s="66"/>
      <c r="H163" s="66">
        <v>6.3125000000000001E-2</v>
      </c>
      <c r="I163" s="66">
        <v>5.7812500000000003E-2</v>
      </c>
      <c r="J163" s="66">
        <v>6.0042600000000002E-2</v>
      </c>
      <c r="K163" s="66"/>
      <c r="L163" s="68"/>
      <c r="M163" s="68">
        <v>870000</v>
      </c>
      <c r="N163" s="68"/>
      <c r="O163" s="68">
        <v>660000</v>
      </c>
      <c r="P163" s="69">
        <f t="shared" si="10"/>
        <v>1.3181818181818181</v>
      </c>
      <c r="Q163" s="108"/>
      <c r="R163" s="108"/>
      <c r="S163" s="158"/>
      <c r="T163" s="158"/>
    </row>
    <row r="164" spans="1:20" s="71" customFormat="1" ht="13.5" customHeight="1" x14ac:dyDescent="0.2">
      <c r="A164" s="73"/>
      <c r="B164" s="73"/>
      <c r="C164" s="64" t="s">
        <v>49</v>
      </c>
      <c r="D164" s="65">
        <v>44576</v>
      </c>
      <c r="E164" s="66">
        <v>5.45E-2</v>
      </c>
      <c r="F164" s="66">
        <v>6.0937499999999999E-2</v>
      </c>
      <c r="G164" s="66"/>
      <c r="H164" s="66">
        <v>6.5000000000000002E-2</v>
      </c>
      <c r="I164" s="66">
        <v>6.0937499999999999E-2</v>
      </c>
      <c r="J164" s="66">
        <v>6.3195500000000002E-2</v>
      </c>
      <c r="K164" s="66"/>
      <c r="L164" s="68"/>
      <c r="M164" s="68">
        <v>390000</v>
      </c>
      <c r="N164" s="68"/>
      <c r="O164" s="68">
        <v>193000</v>
      </c>
      <c r="P164" s="69">
        <f t="shared" si="10"/>
        <v>2.0207253886010363</v>
      </c>
      <c r="Q164" s="108"/>
      <c r="R164" s="108"/>
      <c r="S164" s="158"/>
      <c r="T164" s="158"/>
    </row>
    <row r="165" spans="1:20" s="71" customFormat="1" ht="13.5" customHeight="1" x14ac:dyDescent="0.2">
      <c r="A165" s="73"/>
      <c r="B165" s="73"/>
      <c r="C165" s="64" t="s">
        <v>50</v>
      </c>
      <c r="D165" s="65">
        <v>46402</v>
      </c>
      <c r="E165" s="66">
        <v>0.06</v>
      </c>
      <c r="F165" s="66">
        <v>6.6875000000000004E-2</v>
      </c>
      <c r="G165" s="66"/>
      <c r="H165" s="66">
        <v>7.1249999999999994E-2</v>
      </c>
      <c r="I165" s="66"/>
      <c r="J165" s="66"/>
      <c r="K165" s="66"/>
      <c r="L165" s="68"/>
      <c r="M165" s="68">
        <v>139000</v>
      </c>
      <c r="N165" s="68"/>
      <c r="O165" s="68"/>
      <c r="P165" s="69"/>
      <c r="Q165" s="108"/>
      <c r="R165" s="108" t="e">
        <f>O165*J165/$O$43</f>
        <v>#DIV/0!</v>
      </c>
      <c r="S165" s="158">
        <f>O165*J165/$R$10</f>
        <v>0</v>
      </c>
      <c r="T165" s="158"/>
    </row>
    <row r="166" spans="1:20" s="71" customFormat="1" ht="13.5" customHeight="1" x14ac:dyDescent="0.2">
      <c r="A166" s="73"/>
      <c r="B166" s="73"/>
      <c r="C166" s="64" t="s">
        <v>53</v>
      </c>
      <c r="D166" s="65">
        <v>50086</v>
      </c>
      <c r="E166" s="66">
        <v>6.0999999999999999E-2</v>
      </c>
      <c r="F166" s="66">
        <v>6.7500000000000004E-2</v>
      </c>
      <c r="G166" s="66"/>
      <c r="H166" s="66">
        <v>7.3124999999999996E-2</v>
      </c>
      <c r="I166" s="66">
        <v>6.7500000000000004E-2</v>
      </c>
      <c r="J166" s="66">
        <v>6.7808900000000005E-2</v>
      </c>
      <c r="K166" s="66"/>
      <c r="L166" s="68"/>
      <c r="M166" s="68">
        <v>402000</v>
      </c>
      <c r="N166" s="68"/>
      <c r="O166" s="68">
        <v>250000</v>
      </c>
      <c r="P166" s="69">
        <f t="shared" si="10"/>
        <v>1.6080000000000001</v>
      </c>
      <c r="Q166" s="108"/>
      <c r="R166" s="108" t="e">
        <f>O166*J166/$O$43</f>
        <v>#DIV/0!</v>
      </c>
      <c r="S166" s="158">
        <f>O166*J166/$R$10</f>
        <v>17371275.050938465</v>
      </c>
      <c r="T166" s="158"/>
    </row>
    <row r="167" spans="1:20" ht="13.5" customHeight="1" x14ac:dyDescent="0.2">
      <c r="A167" s="124">
        <v>41163</v>
      </c>
      <c r="B167" s="124">
        <v>41165</v>
      </c>
      <c r="C167" s="125" t="s">
        <v>99</v>
      </c>
      <c r="D167" s="126">
        <v>41255</v>
      </c>
      <c r="E167" s="94"/>
      <c r="F167" s="128">
        <v>0.04</v>
      </c>
      <c r="G167" s="128">
        <v>4.1332500000000001E-2</v>
      </c>
      <c r="H167" s="128">
        <v>4.3749999999999997E-2</v>
      </c>
      <c r="I167" s="128">
        <v>0.04</v>
      </c>
      <c r="J167" s="94">
        <v>4.01819E-2</v>
      </c>
      <c r="K167" s="94">
        <v>4.0625000000000001E-2</v>
      </c>
      <c r="L167" s="130">
        <v>5000000</v>
      </c>
      <c r="M167" s="130">
        <v>4487000</v>
      </c>
      <c r="N167" s="130">
        <v>3650000</v>
      </c>
      <c r="O167" s="130">
        <v>1000000</v>
      </c>
      <c r="P167" s="97">
        <f>M167/O167</f>
        <v>4.4870000000000001</v>
      </c>
      <c r="Q167" s="132">
        <v>4.1000000000000002E-2</v>
      </c>
      <c r="R167" s="56"/>
      <c r="S167" s="57">
        <f>O167*J167/$R$10</f>
        <v>41175175.35127715</v>
      </c>
      <c r="T167" s="57"/>
    </row>
    <row r="168" spans="1:20" ht="13.5" customHeight="1" x14ac:dyDescent="0.2">
      <c r="A168" s="89"/>
      <c r="B168" s="89"/>
      <c r="C168" s="91" t="s">
        <v>100</v>
      </c>
      <c r="D168" s="92">
        <v>41164</v>
      </c>
      <c r="E168" s="94"/>
      <c r="F168" s="94">
        <v>4.5624999999999999E-2</v>
      </c>
      <c r="G168" s="94">
        <v>4.7959000000000002E-2</v>
      </c>
      <c r="H168" s="94">
        <v>5.5E-2</v>
      </c>
      <c r="I168" s="94">
        <v>4.5624999999999999E-2</v>
      </c>
      <c r="J168" s="94">
        <v>4.6062499999999999E-2</v>
      </c>
      <c r="K168" s="94">
        <v>4.6249999999999999E-2</v>
      </c>
      <c r="L168" s="96"/>
      <c r="M168" s="96">
        <v>1785000</v>
      </c>
      <c r="N168" s="96">
        <v>1100000</v>
      </c>
      <c r="O168" s="96">
        <v>1000000</v>
      </c>
      <c r="P168" s="97">
        <f>M168/O168</f>
        <v>1.7849999999999999</v>
      </c>
      <c r="Q168" s="98">
        <v>4.65E-2</v>
      </c>
      <c r="R168" s="56"/>
      <c r="S168" s="57"/>
      <c r="T168" s="57"/>
    </row>
    <row r="169" spans="1:20" ht="13.5" customHeight="1" x14ac:dyDescent="0.2">
      <c r="A169" s="89"/>
      <c r="B169" s="89"/>
      <c r="C169" s="91" t="s">
        <v>94</v>
      </c>
      <c r="D169" s="92">
        <v>45061</v>
      </c>
      <c r="E169" s="94">
        <v>5.6250000000000001E-2</v>
      </c>
      <c r="F169" s="94">
        <v>5.9374999999999997E-2</v>
      </c>
      <c r="G169" s="94">
        <v>6.0299499999999999E-2</v>
      </c>
      <c r="H169" s="94">
        <v>6.21875E-2</v>
      </c>
      <c r="I169" s="94">
        <v>5.9374999999999997E-2</v>
      </c>
      <c r="J169" s="94">
        <v>5.9670000000000001E-2</v>
      </c>
      <c r="K169" s="94">
        <v>5.9687499999999998E-2</v>
      </c>
      <c r="L169" s="96"/>
      <c r="M169" s="96">
        <v>2121500</v>
      </c>
      <c r="N169" s="96">
        <v>450000</v>
      </c>
      <c r="O169" s="96">
        <v>400000</v>
      </c>
      <c r="P169" s="97">
        <f>M169/O169</f>
        <v>5.30375</v>
      </c>
      <c r="Q169" s="98">
        <v>5.9700000000000003E-2</v>
      </c>
      <c r="R169" s="56">
        <v>0</v>
      </c>
      <c r="S169" s="57">
        <v>0</v>
      </c>
      <c r="T169" s="57"/>
    </row>
    <row r="170" spans="1:20" ht="13.5" customHeight="1" x14ac:dyDescent="0.2">
      <c r="A170" s="89"/>
      <c r="B170" s="89"/>
      <c r="C170" s="91" t="s">
        <v>95</v>
      </c>
      <c r="D170" s="92">
        <v>46888</v>
      </c>
      <c r="E170" s="94">
        <v>6.1249999999999999E-2</v>
      </c>
      <c r="F170" s="94">
        <v>6.3125000000000001E-2</v>
      </c>
      <c r="G170" s="94">
        <v>6.4128599999999994E-2</v>
      </c>
      <c r="H170" s="94">
        <v>6.7500000000000004E-2</v>
      </c>
      <c r="I170" s="94">
        <v>6.3125000000000001E-2</v>
      </c>
      <c r="J170" s="94">
        <v>6.3644900000000004E-2</v>
      </c>
      <c r="K170" s="94">
        <v>6.3750000000000001E-2</v>
      </c>
      <c r="L170" s="96"/>
      <c r="M170" s="96">
        <v>1750500</v>
      </c>
      <c r="N170" s="96">
        <v>650000</v>
      </c>
      <c r="O170" s="96">
        <v>600000</v>
      </c>
      <c r="P170" s="97">
        <f>M170/O170</f>
        <v>2.9175</v>
      </c>
      <c r="Q170" s="98">
        <v>6.3700000000000007E-2</v>
      </c>
      <c r="R170" s="56">
        <v>0</v>
      </c>
      <c r="S170" s="57">
        <v>0</v>
      </c>
      <c r="T170" s="57"/>
    </row>
    <row r="171" spans="1:20" ht="13.5" customHeight="1" x14ac:dyDescent="0.2">
      <c r="A171" s="89"/>
      <c r="B171" s="89"/>
      <c r="C171" s="91" t="s">
        <v>98</v>
      </c>
      <c r="D171" s="92">
        <v>48714</v>
      </c>
      <c r="E171" s="94">
        <v>6.6250000000000003E-2</v>
      </c>
      <c r="F171" s="94">
        <v>6.5937499999999996E-2</v>
      </c>
      <c r="G171" s="94">
        <v>6.7079E-2</v>
      </c>
      <c r="H171" s="94">
        <v>6.9375000000000006E-2</v>
      </c>
      <c r="I171" s="94">
        <v>6.5937499999999996E-2</v>
      </c>
      <c r="J171" s="94">
        <v>6.6852700000000001E-2</v>
      </c>
      <c r="K171" s="94">
        <v>6.7187499999999997E-2</v>
      </c>
      <c r="L171" s="96"/>
      <c r="M171" s="96">
        <v>3973000</v>
      </c>
      <c r="N171" s="96">
        <v>3450000</v>
      </c>
      <c r="O171" s="96">
        <v>3200000</v>
      </c>
      <c r="P171" s="97"/>
      <c r="Q171" s="98">
        <v>6.6900000000000001E-2</v>
      </c>
      <c r="R171" s="56">
        <v>1.9887751488813776E-3</v>
      </c>
      <c r="S171" s="57">
        <v>29293528.561597757</v>
      </c>
      <c r="T171" s="57"/>
    </row>
    <row r="172" spans="1:20" s="71" customFormat="1" ht="13.5" customHeight="1" x14ac:dyDescent="0.2">
      <c r="A172" s="76">
        <v>41170</v>
      </c>
      <c r="B172" s="76">
        <v>41172</v>
      </c>
      <c r="C172" s="77" t="s">
        <v>101</v>
      </c>
      <c r="D172" s="78"/>
      <c r="E172" s="66"/>
      <c r="F172" s="80">
        <v>5.5E-2</v>
      </c>
      <c r="G172" s="80"/>
      <c r="H172" s="80">
        <v>5.7500000000000002E-2</v>
      </c>
      <c r="I172" s="80"/>
      <c r="J172" s="66"/>
      <c r="K172" s="66"/>
      <c r="L172" s="82">
        <v>1000000</v>
      </c>
      <c r="M172" s="82">
        <v>151000</v>
      </c>
      <c r="N172" s="82"/>
      <c r="O172" s="82"/>
      <c r="P172" s="69"/>
      <c r="Q172" s="157"/>
      <c r="R172" s="108"/>
      <c r="S172" s="158">
        <f>O172*J172/$R$10</f>
        <v>0</v>
      </c>
      <c r="T172" s="158"/>
    </row>
    <row r="173" spans="1:20" s="71" customFormat="1" ht="13.5" customHeight="1" x14ac:dyDescent="0.2">
      <c r="A173" s="73"/>
      <c r="B173" s="73"/>
      <c r="C173" s="64" t="s">
        <v>48</v>
      </c>
      <c r="D173" s="65">
        <v>43146</v>
      </c>
      <c r="E173" s="66">
        <v>4.4499999999999998E-2</v>
      </c>
      <c r="F173" s="66">
        <v>5.9062499999999997E-2</v>
      </c>
      <c r="G173" s="66"/>
      <c r="H173" s="66">
        <v>6.5000000000000002E-2</v>
      </c>
      <c r="I173" s="66"/>
      <c r="J173" s="66"/>
      <c r="K173" s="66"/>
      <c r="L173" s="68"/>
      <c r="M173" s="68">
        <v>741000</v>
      </c>
      <c r="N173" s="68"/>
      <c r="O173" s="68"/>
      <c r="P173" s="69"/>
      <c r="Q173" s="108"/>
      <c r="R173" s="108"/>
      <c r="S173" s="158"/>
      <c r="T173" s="158"/>
    </row>
    <row r="174" spans="1:20" s="71" customFormat="1" ht="13.5" customHeight="1" x14ac:dyDescent="0.2">
      <c r="A174" s="73"/>
      <c r="B174" s="73"/>
      <c r="C174" s="64" t="s">
        <v>49</v>
      </c>
      <c r="D174" s="65">
        <v>44576</v>
      </c>
      <c r="E174" s="66">
        <v>5.45E-2</v>
      </c>
      <c r="F174" s="66">
        <v>6.25E-2</v>
      </c>
      <c r="G174" s="66"/>
      <c r="H174" s="66">
        <v>6.7500000000000004E-2</v>
      </c>
      <c r="I174" s="66"/>
      <c r="J174" s="66"/>
      <c r="K174" s="66"/>
      <c r="L174" s="68"/>
      <c r="M174" s="68">
        <v>241000</v>
      </c>
      <c r="N174" s="68"/>
      <c r="O174" s="68"/>
      <c r="P174" s="69"/>
      <c r="Q174" s="108"/>
      <c r="R174" s="108"/>
      <c r="S174" s="158"/>
      <c r="T174" s="158"/>
    </row>
    <row r="175" spans="1:20" s="71" customFormat="1" ht="13.5" customHeight="1" x14ac:dyDescent="0.2">
      <c r="A175" s="73"/>
      <c r="B175" s="73"/>
      <c r="C175" s="64" t="s">
        <v>50</v>
      </c>
      <c r="D175" s="65">
        <v>46402</v>
      </c>
      <c r="E175" s="66">
        <v>0.06</v>
      </c>
      <c r="F175" s="66">
        <v>6.5312499999999996E-2</v>
      </c>
      <c r="G175" s="66"/>
      <c r="H175" s="66">
        <v>7.0000000000000007E-2</v>
      </c>
      <c r="I175" s="66"/>
      <c r="J175" s="66"/>
      <c r="K175" s="66"/>
      <c r="L175" s="68"/>
      <c r="M175" s="68">
        <v>26000</v>
      </c>
      <c r="N175" s="68"/>
      <c r="O175" s="68"/>
      <c r="P175" s="69"/>
      <c r="Q175" s="108"/>
      <c r="R175" s="108" t="e">
        <f>O175*J175/$O$43</f>
        <v>#DIV/0!</v>
      </c>
      <c r="S175" s="158">
        <f>O175*J175/$R$10</f>
        <v>0</v>
      </c>
      <c r="T175" s="158"/>
    </row>
    <row r="176" spans="1:20" s="71" customFormat="1" ht="13.5" customHeight="1" x14ac:dyDescent="0.2">
      <c r="A176" s="73"/>
      <c r="B176" s="73"/>
      <c r="C176" s="64" t="s">
        <v>53</v>
      </c>
      <c r="D176" s="65">
        <v>50086</v>
      </c>
      <c r="E176" s="66">
        <v>6.0999999999999999E-2</v>
      </c>
      <c r="F176" s="66">
        <v>6.7500000000000004E-2</v>
      </c>
      <c r="G176" s="66"/>
      <c r="H176" s="66">
        <v>7.2499999999999995E-2</v>
      </c>
      <c r="I176" s="66"/>
      <c r="J176" s="66"/>
      <c r="K176" s="66"/>
      <c r="L176" s="68"/>
      <c r="M176" s="68">
        <v>206000</v>
      </c>
      <c r="N176" s="68"/>
      <c r="O176" s="68"/>
      <c r="P176" s="69"/>
      <c r="Q176" s="108"/>
      <c r="R176" s="108" t="e">
        <f>O176*J176/$O$43</f>
        <v>#DIV/0!</v>
      </c>
      <c r="S176" s="158">
        <f>O176*J176/$R$10</f>
        <v>0</v>
      </c>
      <c r="T176" s="158"/>
    </row>
    <row r="177" spans="1:20" ht="13.5" customHeight="1" x14ac:dyDescent="0.2">
      <c r="A177" s="124">
        <v>41177</v>
      </c>
      <c r="B177" s="124">
        <f>A177+2</f>
        <v>41179</v>
      </c>
      <c r="C177" s="125" t="s">
        <v>100</v>
      </c>
      <c r="D177" s="126">
        <v>41529</v>
      </c>
      <c r="E177" s="94"/>
      <c r="F177" s="128">
        <v>4.5937499999999999E-2</v>
      </c>
      <c r="G177" s="128">
        <v>4.7070300000000002E-2</v>
      </c>
      <c r="H177" s="128">
        <v>0.05</v>
      </c>
      <c r="I177" s="128">
        <v>4.5937499999999999E-2</v>
      </c>
      <c r="J177" s="94">
        <v>4.6809400000000001E-2</v>
      </c>
      <c r="K177" s="94">
        <v>4.7500000000000001E-2</v>
      </c>
      <c r="L177" s="130">
        <v>5000000</v>
      </c>
      <c r="M177" s="130">
        <v>1796000</v>
      </c>
      <c r="N177" s="130">
        <v>1150000</v>
      </c>
      <c r="O177" s="130">
        <v>1000000</v>
      </c>
      <c r="P177" s="97">
        <f t="shared" ref="P177:P192" si="11">M177/O177</f>
        <v>1.796</v>
      </c>
      <c r="Q177" s="132">
        <v>4.7E-2</v>
      </c>
      <c r="R177" s="56"/>
      <c r="S177" s="57">
        <f>O177*J177/$R$10</f>
        <v>47966503.651845053</v>
      </c>
      <c r="T177" s="57"/>
    </row>
    <row r="178" spans="1:20" ht="13.5" customHeight="1" x14ac:dyDescent="0.2">
      <c r="A178" s="89"/>
      <c r="B178" s="89"/>
      <c r="C178" s="91" t="s">
        <v>34</v>
      </c>
      <c r="D178" s="92">
        <v>42840</v>
      </c>
      <c r="E178" s="94">
        <v>6.25E-2</v>
      </c>
      <c r="F178" s="94">
        <v>5.2812499999999998E-2</v>
      </c>
      <c r="G178" s="94">
        <v>5.5194300000000002E-2</v>
      </c>
      <c r="H178" s="94">
        <v>5.7500000000000002E-2</v>
      </c>
      <c r="I178" s="94">
        <v>5.2812499999999998E-2</v>
      </c>
      <c r="J178" s="94">
        <v>5.44783E-2</v>
      </c>
      <c r="K178" s="94">
        <v>5.5312500000000001E-2</v>
      </c>
      <c r="L178" s="96"/>
      <c r="M178" s="96">
        <v>1761000</v>
      </c>
      <c r="N178" s="96">
        <v>950000</v>
      </c>
      <c r="O178" s="96">
        <v>950000</v>
      </c>
      <c r="P178" s="97">
        <f t="shared" si="11"/>
        <v>1.8536842105263158</v>
      </c>
      <c r="Q178" s="98">
        <v>5.45E-2</v>
      </c>
      <c r="R178" s="56">
        <v>0</v>
      </c>
      <c r="S178" s="57">
        <v>0</v>
      </c>
      <c r="T178" s="57"/>
    </row>
    <row r="179" spans="1:20" ht="13.5" customHeight="1" x14ac:dyDescent="0.2">
      <c r="A179" s="89"/>
      <c r="B179" s="89"/>
      <c r="C179" s="91" t="s">
        <v>94</v>
      </c>
      <c r="D179" s="92">
        <v>45061</v>
      </c>
      <c r="E179" s="94">
        <v>5.6250000000000001E-2</v>
      </c>
      <c r="F179" s="94">
        <v>5.9062499999999997E-2</v>
      </c>
      <c r="G179" s="94">
        <v>6.0377800000000002E-2</v>
      </c>
      <c r="H179" s="94">
        <v>6.21875E-2</v>
      </c>
      <c r="I179" s="94">
        <v>5.9062499999999997E-2</v>
      </c>
      <c r="J179" s="94">
        <v>5.9893099999999998E-2</v>
      </c>
      <c r="K179" s="94">
        <v>6.0312499999999998E-2</v>
      </c>
      <c r="L179" s="96"/>
      <c r="M179" s="96">
        <v>4200800</v>
      </c>
      <c r="N179" s="96">
        <v>2200000</v>
      </c>
      <c r="O179" s="96">
        <v>2200000</v>
      </c>
      <c r="P179" s="97">
        <f t="shared" si="11"/>
        <v>1.9094545454545455</v>
      </c>
      <c r="Q179" s="98">
        <v>5.9900000000000002E-2</v>
      </c>
      <c r="R179" s="56">
        <v>0</v>
      </c>
      <c r="S179" s="57">
        <v>0</v>
      </c>
      <c r="T179" s="57"/>
    </row>
    <row r="180" spans="1:20" ht="13.5" customHeight="1" x14ac:dyDescent="0.2">
      <c r="A180" s="89"/>
      <c r="B180" s="89"/>
      <c r="C180" s="91" t="s">
        <v>98</v>
      </c>
      <c r="D180" s="92">
        <v>48714</v>
      </c>
      <c r="E180" s="94">
        <v>6.6250000000000003E-2</v>
      </c>
      <c r="F180" s="94">
        <v>6.6875000000000004E-2</v>
      </c>
      <c r="G180" s="94">
        <v>6.7796400000000007E-2</v>
      </c>
      <c r="H180" s="94">
        <v>6.9062499999999999E-2</v>
      </c>
      <c r="I180" s="94">
        <v>6.6875000000000004E-2</v>
      </c>
      <c r="J180" s="94">
        <v>6.7299300000000006E-2</v>
      </c>
      <c r="K180" s="94">
        <v>6.7500000000000004E-2</v>
      </c>
      <c r="L180" s="96"/>
      <c r="M180" s="96">
        <v>4118000</v>
      </c>
      <c r="N180" s="96">
        <v>1150000</v>
      </c>
      <c r="O180" s="96">
        <v>1150000</v>
      </c>
      <c r="P180" s="97">
        <f t="shared" si="11"/>
        <v>3.5808695652173914</v>
      </c>
      <c r="Q180" s="98">
        <v>6.7299999999999999E-2</v>
      </c>
      <c r="R180" s="56">
        <v>1.9887751488813776E-3</v>
      </c>
      <c r="S180" s="57">
        <v>29293528.561597757</v>
      </c>
      <c r="T180" s="57"/>
    </row>
    <row r="181" spans="1:20" s="71" customFormat="1" ht="13.5" customHeight="1" x14ac:dyDescent="0.2">
      <c r="A181" s="76">
        <v>41184</v>
      </c>
      <c r="B181" s="76">
        <v>41186</v>
      </c>
      <c r="C181" s="77" t="s">
        <v>108</v>
      </c>
      <c r="D181" s="78">
        <v>41367</v>
      </c>
      <c r="E181" s="66"/>
      <c r="F181" s="80">
        <v>4.4999999999999998E-2</v>
      </c>
      <c r="G181" s="80"/>
      <c r="H181" s="80">
        <v>5.7500000000000002E-2</v>
      </c>
      <c r="I181" s="80">
        <v>4.4999999999999998E-2</v>
      </c>
      <c r="J181" s="66">
        <v>4.6944399999999997E-2</v>
      </c>
      <c r="K181" s="66"/>
      <c r="L181" s="82">
        <v>1000000</v>
      </c>
      <c r="M181" s="82">
        <v>265000</v>
      </c>
      <c r="N181" s="82"/>
      <c r="O181" s="82">
        <v>90000</v>
      </c>
      <c r="P181" s="69">
        <f t="shared" si="11"/>
        <v>2.9444444444444446</v>
      </c>
      <c r="Q181" s="157"/>
      <c r="R181" s="108"/>
      <c r="S181" s="158">
        <f>O181*J181/$R$10</f>
        <v>4329435.6702506486</v>
      </c>
      <c r="T181" s="158"/>
    </row>
    <row r="182" spans="1:20" s="71" customFormat="1" ht="13.5" customHeight="1" x14ac:dyDescent="0.2">
      <c r="A182" s="73"/>
      <c r="B182" s="73"/>
      <c r="C182" s="64" t="s">
        <v>48</v>
      </c>
      <c r="D182" s="65">
        <v>43146</v>
      </c>
      <c r="E182" s="66">
        <v>4.4499999999999998E-2</v>
      </c>
      <c r="F182" s="66">
        <v>5.9687499999999998E-2</v>
      </c>
      <c r="G182" s="66"/>
      <c r="H182" s="66">
        <v>6.5000000000000002E-2</v>
      </c>
      <c r="I182" s="66">
        <v>5.9687499999999998E-2</v>
      </c>
      <c r="J182" s="66">
        <v>6.0198000000000002E-2</v>
      </c>
      <c r="K182" s="66"/>
      <c r="L182" s="68"/>
      <c r="M182" s="68">
        <v>756000</v>
      </c>
      <c r="N182" s="68"/>
      <c r="O182" s="68">
        <v>460000</v>
      </c>
      <c r="P182" s="69">
        <f t="shared" si="11"/>
        <v>1.6434782608695653</v>
      </c>
      <c r="Q182" s="108"/>
      <c r="R182" s="108"/>
      <c r="S182" s="158"/>
      <c r="T182" s="158"/>
    </row>
    <row r="183" spans="1:20" s="71" customFormat="1" ht="13.5" customHeight="1" x14ac:dyDescent="0.2">
      <c r="A183" s="73"/>
      <c r="B183" s="73"/>
      <c r="C183" s="64" t="s">
        <v>49</v>
      </c>
      <c r="D183" s="65">
        <v>44576</v>
      </c>
      <c r="E183" s="66">
        <v>5.45E-2</v>
      </c>
      <c r="F183" s="66">
        <v>6.25E-2</v>
      </c>
      <c r="G183" s="66"/>
      <c r="H183" s="66">
        <v>6.7500000000000004E-2</v>
      </c>
      <c r="I183" s="66"/>
      <c r="J183" s="66"/>
      <c r="K183" s="66"/>
      <c r="L183" s="68"/>
      <c r="M183" s="68">
        <v>209000</v>
      </c>
      <c r="N183" s="68"/>
      <c r="O183" s="68"/>
      <c r="P183" s="69"/>
      <c r="Q183" s="108"/>
      <c r="R183" s="108"/>
      <c r="S183" s="158"/>
      <c r="T183" s="158"/>
    </row>
    <row r="184" spans="1:20" s="71" customFormat="1" ht="13.5" customHeight="1" x14ac:dyDescent="0.2">
      <c r="A184" s="73"/>
      <c r="B184" s="73"/>
      <c r="C184" s="64" t="s">
        <v>50</v>
      </c>
      <c r="D184" s="65">
        <v>46402</v>
      </c>
      <c r="E184" s="66">
        <v>0.06</v>
      </c>
      <c r="F184" s="66">
        <v>6.6250000000000003E-2</v>
      </c>
      <c r="G184" s="66"/>
      <c r="H184" s="66">
        <v>7.0000000000000007E-2</v>
      </c>
      <c r="I184" s="66"/>
      <c r="J184" s="66"/>
      <c r="K184" s="66"/>
      <c r="L184" s="68"/>
      <c r="M184" s="68">
        <v>68000</v>
      </c>
      <c r="N184" s="68"/>
      <c r="O184" s="68"/>
      <c r="P184" s="69"/>
      <c r="Q184" s="108"/>
      <c r="R184" s="108" t="e">
        <f>O184*J184/$O$43</f>
        <v>#DIV/0!</v>
      </c>
      <c r="S184" s="158">
        <f>O184*J184/$R$10</f>
        <v>0</v>
      </c>
      <c r="T184" s="158"/>
    </row>
    <row r="185" spans="1:20" s="71" customFormat="1" ht="13.5" customHeight="1" x14ac:dyDescent="0.2">
      <c r="A185" s="73"/>
      <c r="B185" s="73"/>
      <c r="C185" s="64" t="s">
        <v>53</v>
      </c>
      <c r="D185" s="65">
        <v>50086</v>
      </c>
      <c r="E185" s="66">
        <v>6.0999999999999999E-2</v>
      </c>
      <c r="F185" s="66">
        <v>6.8125000000000005E-2</v>
      </c>
      <c r="G185" s="66"/>
      <c r="H185" s="66">
        <v>7.2499999999999995E-2</v>
      </c>
      <c r="I185" s="66">
        <v>6.8125000000000005E-2</v>
      </c>
      <c r="J185" s="66">
        <v>6.8398899999999999E-2</v>
      </c>
      <c r="K185" s="66"/>
      <c r="L185" s="68"/>
      <c r="M185" s="68">
        <v>102000</v>
      </c>
      <c r="N185" s="68"/>
      <c r="O185" s="68">
        <v>81000</v>
      </c>
      <c r="P185" s="69">
        <f t="shared" si="11"/>
        <v>1.2592592592592593</v>
      </c>
      <c r="Q185" s="108"/>
      <c r="R185" s="108" t="e">
        <f>O185*J185/$O$43</f>
        <v>#DIV/0!</v>
      </c>
      <c r="S185" s="158">
        <f>O185*J185/$R$10</f>
        <v>5677264.4600701332</v>
      </c>
      <c r="T185" s="158"/>
    </row>
    <row r="186" spans="1:20" ht="13.5" customHeight="1" x14ac:dyDescent="0.2">
      <c r="A186" s="124">
        <v>41186</v>
      </c>
      <c r="B186" s="124">
        <v>41190</v>
      </c>
      <c r="C186" s="125" t="s">
        <v>105</v>
      </c>
      <c r="D186" s="126">
        <v>41281</v>
      </c>
      <c r="E186" s="94"/>
      <c r="F186" s="128">
        <v>3.9687500000000001E-2</v>
      </c>
      <c r="G186" s="128">
        <v>4.1053199999999998E-2</v>
      </c>
      <c r="H186" s="128">
        <v>0.05</v>
      </c>
      <c r="I186" s="128">
        <v>3.9687500000000001E-2</v>
      </c>
      <c r="J186" s="94">
        <v>4.0156299999999999E-2</v>
      </c>
      <c r="K186" s="94">
        <v>4.0312500000000001E-2</v>
      </c>
      <c r="L186" s="130">
        <v>5000000</v>
      </c>
      <c r="M186" s="130">
        <v>3711000</v>
      </c>
      <c r="N186" s="130">
        <v>2350000</v>
      </c>
      <c r="O186" s="130">
        <v>1000000</v>
      </c>
      <c r="P186" s="97">
        <f t="shared" si="11"/>
        <v>3.7109999999999999</v>
      </c>
      <c r="Q186" s="132">
        <v>4.0500000000000001E-2</v>
      </c>
      <c r="R186" s="56"/>
      <c r="S186" s="57">
        <f>O186*J186/$R$10</f>
        <v>41148942.532794379</v>
      </c>
      <c r="T186" s="57"/>
    </row>
    <row r="187" spans="1:20" ht="13.5" customHeight="1" x14ac:dyDescent="0.2">
      <c r="A187" s="89"/>
      <c r="B187" s="89"/>
      <c r="C187" s="91" t="s">
        <v>106</v>
      </c>
      <c r="D187" s="92">
        <v>41554</v>
      </c>
      <c r="E187" s="94"/>
      <c r="F187" s="94">
        <v>4.0937500000000002E-2</v>
      </c>
      <c r="G187" s="94">
        <v>4.6291100000000002E-2</v>
      </c>
      <c r="H187" s="94">
        <v>0.05</v>
      </c>
      <c r="I187" s="94">
        <v>4.0937500000000002E-2</v>
      </c>
      <c r="J187" s="94">
        <v>4.4499999999999998E-2</v>
      </c>
      <c r="K187" s="94">
        <v>4.6875E-2</v>
      </c>
      <c r="L187" s="96"/>
      <c r="M187" s="96">
        <v>2450000</v>
      </c>
      <c r="N187" s="96">
        <v>2450000</v>
      </c>
      <c r="O187" s="96">
        <v>1000000</v>
      </c>
      <c r="P187" s="97">
        <f t="shared" si="11"/>
        <v>2.4500000000000002</v>
      </c>
      <c r="Q187" s="98">
        <v>4.6800000000000001E-2</v>
      </c>
      <c r="R187" s="56"/>
      <c r="S187" s="57"/>
      <c r="T187" s="57"/>
    </row>
    <row r="188" spans="1:20" ht="13.5" customHeight="1" x14ac:dyDescent="0.2">
      <c r="A188" s="89"/>
      <c r="B188" s="89"/>
      <c r="C188" s="91" t="s">
        <v>94</v>
      </c>
      <c r="D188" s="92">
        <v>45061</v>
      </c>
      <c r="E188" s="94">
        <v>5.6250000000000001E-2</v>
      </c>
      <c r="F188" s="94">
        <v>5.8437500000000003E-2</v>
      </c>
      <c r="G188" s="94">
        <v>5.9094099999999997E-2</v>
      </c>
      <c r="H188" s="94">
        <v>6.0312499999999998E-2</v>
      </c>
      <c r="I188" s="94">
        <v>5.8437500000000003E-2</v>
      </c>
      <c r="J188" s="94">
        <v>5.8699099999999997E-2</v>
      </c>
      <c r="K188" s="94">
        <v>5.8749999999999997E-2</v>
      </c>
      <c r="L188" s="96"/>
      <c r="M188" s="96">
        <v>3366000</v>
      </c>
      <c r="N188" s="96">
        <v>3366000</v>
      </c>
      <c r="O188" s="96">
        <v>1600000</v>
      </c>
      <c r="P188" s="97">
        <f t="shared" si="11"/>
        <v>2.1037499999999998</v>
      </c>
      <c r="Q188" s="98">
        <v>5.91E-2</v>
      </c>
      <c r="R188" s="56">
        <v>0</v>
      </c>
      <c r="S188" s="57">
        <v>0</v>
      </c>
      <c r="T188" s="57"/>
    </row>
    <row r="189" spans="1:20" ht="13.5" customHeight="1" x14ac:dyDescent="0.2">
      <c r="A189" s="89"/>
      <c r="B189" s="89"/>
      <c r="C189" s="91" t="s">
        <v>95</v>
      </c>
      <c r="D189" s="92">
        <v>46888</v>
      </c>
      <c r="E189" s="94">
        <v>6.1249999999999999E-2</v>
      </c>
      <c r="F189" s="94">
        <v>6.21875E-2</v>
      </c>
      <c r="G189" s="94">
        <v>6.3306899999999999E-2</v>
      </c>
      <c r="H189" s="94">
        <v>6.5312499999999996E-2</v>
      </c>
      <c r="I189" s="94">
        <v>6.21875E-2</v>
      </c>
      <c r="J189" s="94">
        <v>6.2998399999999996E-2</v>
      </c>
      <c r="K189" s="94">
        <v>6.3125000000000001E-2</v>
      </c>
      <c r="L189" s="96"/>
      <c r="M189" s="96">
        <v>2547500</v>
      </c>
      <c r="N189" s="96">
        <v>1500000</v>
      </c>
      <c r="O189" s="96">
        <v>1500000</v>
      </c>
      <c r="P189" s="97">
        <f t="shared" si="11"/>
        <v>1.6983333333333333</v>
      </c>
      <c r="Q189" s="98">
        <v>6.3E-2</v>
      </c>
      <c r="R189" s="56">
        <v>0</v>
      </c>
      <c r="S189" s="57">
        <v>0</v>
      </c>
      <c r="T189" s="57"/>
    </row>
    <row r="190" spans="1:20" ht="13.5" customHeight="1" x14ac:dyDescent="0.2">
      <c r="A190" s="89"/>
      <c r="B190" s="89"/>
      <c r="C190" s="91" t="s">
        <v>98</v>
      </c>
      <c r="D190" s="92">
        <v>48714</v>
      </c>
      <c r="E190" s="94">
        <v>6.6250000000000003E-2</v>
      </c>
      <c r="F190" s="94">
        <v>6.5312499999999996E-2</v>
      </c>
      <c r="G190" s="94">
        <v>6.6240099999999996E-2</v>
      </c>
      <c r="H190" s="94">
        <v>6.8125000000000005E-2</v>
      </c>
      <c r="I190" s="94">
        <v>6.5312499999999996E-2</v>
      </c>
      <c r="J190" s="94">
        <v>6.5821299999999999E-2</v>
      </c>
      <c r="K190" s="94">
        <v>6.5937499999999996E-2</v>
      </c>
      <c r="L190" s="96"/>
      <c r="M190" s="96">
        <v>6752400</v>
      </c>
      <c r="N190" s="96">
        <v>6752400</v>
      </c>
      <c r="O190" s="96">
        <v>2400000</v>
      </c>
      <c r="P190" s="97">
        <f t="shared" si="11"/>
        <v>2.8134999999999999</v>
      </c>
      <c r="Q190" s="98">
        <v>6.6299999999999998E-2</v>
      </c>
      <c r="R190" s="56">
        <v>1.9887751488813776E-3</v>
      </c>
      <c r="S190" s="57">
        <v>29293528.561597757</v>
      </c>
      <c r="T190" s="57"/>
    </row>
    <row r="191" spans="1:20" s="71" customFormat="1" ht="13.5" customHeight="1" x14ac:dyDescent="0.2">
      <c r="A191" s="76">
        <v>41190</v>
      </c>
      <c r="B191" s="76">
        <f>A191+2</f>
        <v>41192</v>
      </c>
      <c r="C191" s="64" t="s">
        <v>107</v>
      </c>
      <c r="D191" s="65">
        <v>42292</v>
      </c>
      <c r="E191" s="66">
        <v>6.25E-2</v>
      </c>
      <c r="F191" s="80"/>
      <c r="G191" s="80"/>
      <c r="H191" s="80"/>
      <c r="I191" s="80"/>
      <c r="J191" s="66">
        <v>6.25E-2</v>
      </c>
      <c r="K191" s="66"/>
      <c r="L191" s="82">
        <v>12000000</v>
      </c>
      <c r="M191" s="82">
        <v>12765145</v>
      </c>
      <c r="N191" s="82">
        <v>12676745</v>
      </c>
      <c r="O191" s="82">
        <v>12676745</v>
      </c>
      <c r="P191" s="69">
        <f t="shared" si="11"/>
        <v>1.0069733989285103</v>
      </c>
      <c r="Q191" s="157"/>
      <c r="R191" s="108"/>
      <c r="S191" s="158">
        <f>O191*J191/$R$10</f>
        <v>811881715.17901385</v>
      </c>
      <c r="T191" s="158"/>
    </row>
    <row r="192" spans="1:20" ht="13.5" customHeight="1" x14ac:dyDescent="0.2">
      <c r="A192" s="124">
        <v>41198</v>
      </c>
      <c r="B192" s="124">
        <v>41200</v>
      </c>
      <c r="C192" s="125" t="s">
        <v>109</v>
      </c>
      <c r="D192" s="126">
        <v>41381</v>
      </c>
      <c r="E192" s="94"/>
      <c r="F192" s="128">
        <v>4.7500000000000001E-2</v>
      </c>
      <c r="G192" s="128"/>
      <c r="H192" s="128">
        <v>5.5E-2</v>
      </c>
      <c r="I192" s="128">
        <v>4.7500000000000001E-2</v>
      </c>
      <c r="J192" s="94">
        <v>4.7500000000000001E-2</v>
      </c>
      <c r="K192" s="94"/>
      <c r="L192" s="130">
        <v>1000000</v>
      </c>
      <c r="M192" s="130">
        <v>226000</v>
      </c>
      <c r="N192" s="130"/>
      <c r="O192" s="130">
        <v>105000</v>
      </c>
      <c r="P192" s="97">
        <f t="shared" si="11"/>
        <v>2.1523809523809523</v>
      </c>
      <c r="Q192" s="132"/>
      <c r="R192" s="56"/>
      <c r="S192" s="57">
        <f>O192*J192/$R$10</f>
        <v>5110788.3665156402</v>
      </c>
      <c r="T192" s="57"/>
    </row>
    <row r="193" spans="1:20" ht="13.5" customHeight="1" x14ac:dyDescent="0.2">
      <c r="A193" s="89"/>
      <c r="B193" s="89"/>
      <c r="C193" s="91" t="s">
        <v>48</v>
      </c>
      <c r="D193" s="92">
        <v>43146</v>
      </c>
      <c r="E193" s="94">
        <v>4.4499999999999998E-2</v>
      </c>
      <c r="F193" s="94">
        <v>5.9374999999999997E-2</v>
      </c>
      <c r="G193" s="94"/>
      <c r="H193" s="94">
        <v>6.5000000000000002E-2</v>
      </c>
      <c r="I193" s="94"/>
      <c r="J193" s="94"/>
      <c r="K193" s="94"/>
      <c r="L193" s="96"/>
      <c r="M193" s="96">
        <v>1256000</v>
      </c>
      <c r="N193" s="96"/>
      <c r="O193" s="96"/>
      <c r="P193" s="97"/>
      <c r="Q193" s="98"/>
      <c r="R193" s="56"/>
      <c r="S193" s="57"/>
      <c r="T193" s="57"/>
    </row>
    <row r="194" spans="1:20" ht="13.5" customHeight="1" x14ac:dyDescent="0.2">
      <c r="A194" s="89"/>
      <c r="B194" s="89"/>
      <c r="C194" s="91" t="s">
        <v>49</v>
      </c>
      <c r="D194" s="92">
        <v>44576</v>
      </c>
      <c r="E194" s="94">
        <v>5.45E-2</v>
      </c>
      <c r="F194" s="94">
        <v>6.1562499999999999E-2</v>
      </c>
      <c r="G194" s="94"/>
      <c r="H194" s="94">
        <v>7.0000000000000007E-2</v>
      </c>
      <c r="I194" s="94"/>
      <c r="J194" s="94"/>
      <c r="K194" s="94"/>
      <c r="L194" s="96"/>
      <c r="M194" s="96">
        <v>193000</v>
      </c>
      <c r="N194" s="96"/>
      <c r="O194" s="96"/>
      <c r="P194" s="97"/>
      <c r="Q194" s="98"/>
      <c r="R194" s="56"/>
      <c r="S194" s="57"/>
      <c r="T194" s="57"/>
    </row>
    <row r="195" spans="1:20" ht="13.5" customHeight="1" x14ac:dyDescent="0.2">
      <c r="A195" s="89"/>
      <c r="B195" s="89"/>
      <c r="C195" s="91" t="s">
        <v>50</v>
      </c>
      <c r="D195" s="92">
        <v>46402</v>
      </c>
      <c r="E195" s="94">
        <v>0.06</v>
      </c>
      <c r="F195" s="94">
        <v>6.5625000000000003E-2</v>
      </c>
      <c r="G195" s="94"/>
      <c r="H195" s="94">
        <v>7.2499999999999995E-2</v>
      </c>
      <c r="I195" s="94"/>
      <c r="J195" s="94"/>
      <c r="K195" s="94"/>
      <c r="L195" s="96"/>
      <c r="M195" s="96">
        <v>205000</v>
      </c>
      <c r="N195" s="96"/>
      <c r="O195" s="96"/>
      <c r="P195" s="97"/>
      <c r="Q195" s="98"/>
      <c r="R195" s="56" t="e">
        <f>O195*J195/$O$43</f>
        <v>#DIV/0!</v>
      </c>
      <c r="S195" s="57">
        <f>O195*J195/$R$10</f>
        <v>0</v>
      </c>
      <c r="T195" s="57"/>
    </row>
    <row r="196" spans="1:20" ht="13.5" customHeight="1" x14ac:dyDescent="0.2">
      <c r="A196" s="89"/>
      <c r="B196" s="89"/>
      <c r="C196" s="91" t="s">
        <v>53</v>
      </c>
      <c r="D196" s="92">
        <v>50086</v>
      </c>
      <c r="E196" s="94">
        <v>6.0999999999999999E-2</v>
      </c>
      <c r="F196" s="94">
        <v>6.7187499999999997E-2</v>
      </c>
      <c r="G196" s="94"/>
      <c r="H196" s="94">
        <v>7.4999999999999997E-2</v>
      </c>
      <c r="I196" s="94">
        <v>6.7187499999999997E-2</v>
      </c>
      <c r="J196" s="94">
        <v>6.8368899999999996E-2</v>
      </c>
      <c r="K196" s="94"/>
      <c r="L196" s="96"/>
      <c r="M196" s="96">
        <v>261000</v>
      </c>
      <c r="N196" s="96"/>
      <c r="O196" s="96">
        <v>260000</v>
      </c>
      <c r="P196" s="97">
        <f t="shared" ref="P196:P202" si="12">M196/O196</f>
        <v>1.0038461538461538</v>
      </c>
      <c r="Q196" s="98"/>
      <c r="R196" s="56" t="e">
        <f>O196*J196/$O$43</f>
        <v>#DIV/0!</v>
      </c>
      <c r="S196" s="57">
        <f>O196*J196/$R$10</f>
        <v>18215325.208096739</v>
      </c>
      <c r="T196" s="57"/>
    </row>
    <row r="197" spans="1:20" s="71" customFormat="1" ht="13.5" customHeight="1" x14ac:dyDescent="0.2">
      <c r="A197" s="76">
        <v>41205</v>
      </c>
      <c r="B197" s="76">
        <v>41207</v>
      </c>
      <c r="C197" s="64" t="s">
        <v>106</v>
      </c>
      <c r="D197" s="65">
        <v>41554</v>
      </c>
      <c r="E197" s="66"/>
      <c r="F197" s="66">
        <v>4.4687499999999998E-2</v>
      </c>
      <c r="G197" s="66">
        <v>4.72273E-2</v>
      </c>
      <c r="H197" s="66">
        <v>4.8125000000000001E-2</v>
      </c>
      <c r="I197" s="66">
        <v>4.4687499999999998E-2</v>
      </c>
      <c r="J197" s="66">
        <v>4.5656299999999997E-2</v>
      </c>
      <c r="K197" s="66">
        <v>4.6875E-2</v>
      </c>
      <c r="L197" s="68">
        <v>6000000</v>
      </c>
      <c r="M197" s="68">
        <v>1510000</v>
      </c>
      <c r="N197" s="68">
        <v>200000</v>
      </c>
      <c r="O197" s="68">
        <v>200000</v>
      </c>
      <c r="P197" s="69">
        <f t="shared" si="12"/>
        <v>7.55</v>
      </c>
      <c r="Q197" s="108">
        <v>4.5999999999999999E-2</v>
      </c>
      <c r="R197" s="108"/>
      <c r="S197" s="158"/>
      <c r="T197" s="158"/>
    </row>
    <row r="198" spans="1:20" s="71" customFormat="1" ht="13.5" customHeight="1" x14ac:dyDescent="0.2">
      <c r="A198" s="73"/>
      <c r="B198" s="73"/>
      <c r="C198" s="64" t="s">
        <v>110</v>
      </c>
      <c r="D198" s="65">
        <v>45061</v>
      </c>
      <c r="E198" s="66">
        <v>5.6250000000000001E-2</v>
      </c>
      <c r="F198" s="66">
        <v>5.1874999999999998E-2</v>
      </c>
      <c r="G198" s="66">
        <v>5.44795E-2</v>
      </c>
      <c r="H198" s="66">
        <v>5.6562500000000002E-2</v>
      </c>
      <c r="I198" s="66">
        <v>5.1874999999999998E-2</v>
      </c>
      <c r="J198" s="66">
        <v>5.3864299999999997E-2</v>
      </c>
      <c r="K198" s="66">
        <v>5.46875E-2</v>
      </c>
      <c r="L198" s="68"/>
      <c r="M198" s="68">
        <v>4306000</v>
      </c>
      <c r="N198" s="68">
        <v>3100000</v>
      </c>
      <c r="O198" s="68">
        <v>2550000</v>
      </c>
      <c r="P198" s="69">
        <f t="shared" si="12"/>
        <v>1.6886274509803922</v>
      </c>
      <c r="Q198" s="108">
        <v>5.4100000000000002E-2</v>
      </c>
      <c r="R198" s="108">
        <v>0</v>
      </c>
      <c r="S198" s="158">
        <v>0</v>
      </c>
      <c r="T198" s="158"/>
    </row>
    <row r="199" spans="1:20" s="71" customFormat="1" ht="13.5" customHeight="1" x14ac:dyDescent="0.2">
      <c r="A199" s="73"/>
      <c r="B199" s="73"/>
      <c r="C199" s="64" t="s">
        <v>94</v>
      </c>
      <c r="D199" s="65">
        <v>45061</v>
      </c>
      <c r="E199" s="66">
        <v>5.6250000000000001E-2</v>
      </c>
      <c r="F199" s="66">
        <v>5.5625000000000001E-2</v>
      </c>
      <c r="G199" s="66">
        <v>5.7547000000000001E-2</v>
      </c>
      <c r="H199" s="66">
        <v>5.8749999999999997E-2</v>
      </c>
      <c r="I199" s="66">
        <v>5.5625000000000001E-2</v>
      </c>
      <c r="J199" s="66">
        <v>5.7285700000000002E-2</v>
      </c>
      <c r="K199" s="66">
        <v>5.7500000000000002E-2</v>
      </c>
      <c r="L199" s="68"/>
      <c r="M199" s="68">
        <v>4917000</v>
      </c>
      <c r="N199" s="68">
        <v>3300000</v>
      </c>
      <c r="O199" s="68">
        <v>3250000</v>
      </c>
      <c r="P199" s="69">
        <f t="shared" si="12"/>
        <v>1.5129230769230768</v>
      </c>
      <c r="Q199" s="108">
        <v>5.7299999999999997E-2</v>
      </c>
      <c r="R199" s="108">
        <v>0</v>
      </c>
      <c r="S199" s="158">
        <v>0</v>
      </c>
      <c r="T199" s="158"/>
    </row>
    <row r="200" spans="1:20" s="71" customFormat="1" ht="13.5" customHeight="1" x14ac:dyDescent="0.2">
      <c r="A200" s="73"/>
      <c r="B200" s="73"/>
      <c r="C200" s="64" t="s">
        <v>98</v>
      </c>
      <c r="D200" s="65">
        <v>48714</v>
      </c>
      <c r="E200" s="66">
        <v>6.6250000000000003E-2</v>
      </c>
      <c r="F200" s="66">
        <v>6.4687499999999995E-2</v>
      </c>
      <c r="G200" s="66">
        <v>6.5432900000000002E-2</v>
      </c>
      <c r="H200" s="66">
        <v>6.7500000000000004E-2</v>
      </c>
      <c r="I200" s="66">
        <v>6.4687499999999995E-2</v>
      </c>
      <c r="J200" s="66">
        <v>6.5143599999999996E-2</v>
      </c>
      <c r="K200" s="66">
        <v>6.5312499999999996E-2</v>
      </c>
      <c r="L200" s="68"/>
      <c r="M200" s="68">
        <v>7234000</v>
      </c>
      <c r="N200" s="68">
        <v>7234000</v>
      </c>
      <c r="O200" s="68">
        <v>3000000</v>
      </c>
      <c r="P200" s="69">
        <f t="shared" si="12"/>
        <v>2.4113333333333333</v>
      </c>
      <c r="Q200" s="108">
        <v>6.5500000000000003E-2</v>
      </c>
      <c r="R200" s="108">
        <v>1.9887751488813776E-3</v>
      </c>
      <c r="S200" s="158">
        <v>29293528.561597757</v>
      </c>
      <c r="T200" s="158"/>
    </row>
    <row r="201" spans="1:20" ht="13.5" customHeight="1" x14ac:dyDescent="0.2">
      <c r="A201" s="124">
        <v>41212</v>
      </c>
      <c r="B201" s="124">
        <v>41214</v>
      </c>
      <c r="C201" s="125" t="s">
        <v>111</v>
      </c>
      <c r="D201" s="126">
        <v>41394</v>
      </c>
      <c r="E201" s="94"/>
      <c r="F201" s="128">
        <v>4.7812500000000001E-2</v>
      </c>
      <c r="G201" s="128"/>
      <c r="H201" s="128">
        <v>5.5E-2</v>
      </c>
      <c r="I201" s="128"/>
      <c r="J201" s="94"/>
      <c r="K201" s="94"/>
      <c r="L201" s="130">
        <v>1000000</v>
      </c>
      <c r="M201" s="130">
        <v>921000</v>
      </c>
      <c r="N201" s="130"/>
      <c r="O201" s="130"/>
      <c r="P201" s="97"/>
      <c r="Q201" s="132"/>
      <c r="R201" s="56"/>
      <c r="S201" s="57">
        <f>O201*J201/$R$10</f>
        <v>0</v>
      </c>
      <c r="T201" s="57"/>
    </row>
    <row r="202" spans="1:20" ht="13.5" customHeight="1" x14ac:dyDescent="0.2">
      <c r="A202" s="89"/>
      <c r="B202" s="89"/>
      <c r="C202" s="91" t="s">
        <v>48</v>
      </c>
      <c r="D202" s="92">
        <v>43146</v>
      </c>
      <c r="E202" s="94">
        <v>4.4499999999999998E-2</v>
      </c>
      <c r="F202" s="94">
        <v>5.9687499999999998E-2</v>
      </c>
      <c r="G202" s="94"/>
      <c r="H202" s="94">
        <v>6.25E-2</v>
      </c>
      <c r="I202" s="94"/>
      <c r="J202" s="94">
        <v>6.0100000000000001E-2</v>
      </c>
      <c r="K202" s="94"/>
      <c r="L202" s="96"/>
      <c r="M202" s="96">
        <v>1286000</v>
      </c>
      <c r="N202" s="96"/>
      <c r="O202" s="96">
        <v>640000</v>
      </c>
      <c r="P202" s="97">
        <f t="shared" si="12"/>
        <v>2.0093749999999999</v>
      </c>
      <c r="Q202" s="98"/>
      <c r="R202" s="56"/>
      <c r="S202" s="57"/>
      <c r="T202" s="57"/>
    </row>
    <row r="203" spans="1:20" ht="13.5" customHeight="1" x14ac:dyDescent="0.2">
      <c r="A203" s="89"/>
      <c r="B203" s="89"/>
      <c r="C203" s="91" t="s">
        <v>49</v>
      </c>
      <c r="D203" s="92">
        <v>44576</v>
      </c>
      <c r="E203" s="94">
        <v>5.45E-2</v>
      </c>
      <c r="F203" s="94">
        <v>6.1249999999999999E-2</v>
      </c>
      <c r="G203" s="94"/>
      <c r="H203" s="94">
        <v>6.7500000000000004E-2</v>
      </c>
      <c r="I203" s="94"/>
      <c r="J203" s="94"/>
      <c r="K203" s="94"/>
      <c r="L203" s="96"/>
      <c r="M203" s="96">
        <v>63000</v>
      </c>
      <c r="N203" s="96"/>
      <c r="O203" s="96"/>
      <c r="P203" s="97"/>
      <c r="Q203" s="98"/>
      <c r="R203" s="56"/>
      <c r="S203" s="57"/>
      <c r="T203" s="57"/>
    </row>
    <row r="204" spans="1:20" ht="13.5" customHeight="1" x14ac:dyDescent="0.2">
      <c r="A204" s="89"/>
      <c r="B204" s="89"/>
      <c r="C204" s="91" t="s">
        <v>50</v>
      </c>
      <c r="D204" s="92">
        <v>46402</v>
      </c>
      <c r="E204" s="94">
        <v>0.06</v>
      </c>
      <c r="F204" s="94">
        <v>6.5937499999999996E-2</v>
      </c>
      <c r="G204" s="94"/>
      <c r="H204" s="94">
        <v>7.0000000000000007E-2</v>
      </c>
      <c r="I204" s="94"/>
      <c r="J204" s="94"/>
      <c r="K204" s="94"/>
      <c r="L204" s="96"/>
      <c r="M204" s="96">
        <v>66000</v>
      </c>
      <c r="N204" s="96"/>
      <c r="O204" s="96"/>
      <c r="P204" s="97"/>
      <c r="Q204" s="98"/>
      <c r="R204" s="56" t="e">
        <f>O204*J204/$O$43</f>
        <v>#DIV/0!</v>
      </c>
      <c r="S204" s="57">
        <f>O204*J204/$R$10</f>
        <v>0</v>
      </c>
      <c r="T204" s="57"/>
    </row>
    <row r="205" spans="1:20" ht="13.5" customHeight="1" x14ac:dyDescent="0.2">
      <c r="A205" s="89"/>
      <c r="B205" s="89"/>
      <c r="C205" s="91" t="s">
        <v>53</v>
      </c>
      <c r="D205" s="92">
        <v>50086</v>
      </c>
      <c r="E205" s="94">
        <v>6.0999999999999999E-2</v>
      </c>
      <c r="F205" s="94">
        <v>6.7187499999999997E-2</v>
      </c>
      <c r="G205" s="94"/>
      <c r="H205" s="94">
        <v>7.4999999999999997E-2</v>
      </c>
      <c r="I205" s="94"/>
      <c r="J205" s="94">
        <v>6.8098500000000006E-2</v>
      </c>
      <c r="K205" s="94"/>
      <c r="L205" s="96"/>
      <c r="M205" s="96">
        <v>317000</v>
      </c>
      <c r="N205" s="96"/>
      <c r="O205" s="96">
        <v>273000</v>
      </c>
      <c r="P205" s="97">
        <f t="shared" ref="P205:P210" si="13">M205/O205</f>
        <v>1.1611721611721613</v>
      </c>
      <c r="Q205" s="98"/>
      <c r="R205" s="56" t="e">
        <f>O205*J205/$O$43</f>
        <v>#DIV/0!</v>
      </c>
      <c r="S205" s="57">
        <f>O205*J205/$R$10</f>
        <v>19050447.496855363</v>
      </c>
      <c r="T205" s="57"/>
    </row>
    <row r="206" spans="1:20" ht="13.5" customHeight="1" x14ac:dyDescent="0.2">
      <c r="A206" s="76">
        <v>41225</v>
      </c>
      <c r="B206" s="76">
        <v>41227</v>
      </c>
      <c r="C206" s="77" t="s">
        <v>112</v>
      </c>
      <c r="D206" s="78">
        <v>41318</v>
      </c>
      <c r="E206" s="80"/>
      <c r="F206" s="80">
        <v>3.6874999999999998E-2</v>
      </c>
      <c r="G206" s="80">
        <v>3.9922800000000001E-2</v>
      </c>
      <c r="H206" s="80">
        <v>4.2812500000000003E-2</v>
      </c>
      <c r="I206" s="80">
        <v>3.6874999999999998E-2</v>
      </c>
      <c r="J206" s="80">
        <v>3.7249999999999998E-2</v>
      </c>
      <c r="K206" s="80">
        <v>3.7812499999999999E-2</v>
      </c>
      <c r="L206" s="82">
        <v>5000000</v>
      </c>
      <c r="M206" s="82">
        <v>4050000</v>
      </c>
      <c r="N206" s="82">
        <v>1800000</v>
      </c>
      <c r="O206" s="82">
        <v>1000000</v>
      </c>
      <c r="P206" s="84">
        <f t="shared" si="13"/>
        <v>4.05</v>
      </c>
      <c r="Q206" s="157">
        <v>3.7999999999999999E-2</v>
      </c>
      <c r="R206" s="56"/>
      <c r="S206" s="57">
        <f>O206*J206/$R$10</f>
        <v>38170800.331369944</v>
      </c>
      <c r="T206" s="57"/>
    </row>
    <row r="207" spans="1:20" ht="13.5" customHeight="1" x14ac:dyDescent="0.2">
      <c r="A207" s="73"/>
      <c r="B207" s="73"/>
      <c r="C207" s="77" t="s">
        <v>113</v>
      </c>
      <c r="D207" s="65">
        <v>41591</v>
      </c>
      <c r="E207" s="66"/>
      <c r="F207" s="66">
        <v>4.5312499999999999E-2</v>
      </c>
      <c r="G207" s="66">
        <v>4.6971600000000002E-2</v>
      </c>
      <c r="H207" s="66">
        <v>0.05</v>
      </c>
      <c r="I207" s="66">
        <v>4.5312499999999999E-2</v>
      </c>
      <c r="J207" s="66">
        <v>4.6112500000000001E-2</v>
      </c>
      <c r="K207" s="66">
        <v>4.65625E-2</v>
      </c>
      <c r="L207" s="68"/>
      <c r="M207" s="68">
        <v>2561000</v>
      </c>
      <c r="N207" s="68">
        <v>1400000</v>
      </c>
      <c r="O207" s="68">
        <v>1000000</v>
      </c>
      <c r="P207" s="69">
        <f t="shared" si="13"/>
        <v>2.5609999999999999</v>
      </c>
      <c r="Q207" s="108">
        <v>4.65E-2</v>
      </c>
      <c r="R207" s="56"/>
      <c r="S207" s="57"/>
      <c r="T207" s="57"/>
    </row>
    <row r="208" spans="1:20" ht="13.5" customHeight="1" x14ac:dyDescent="0.2">
      <c r="A208" s="73"/>
      <c r="B208" s="73"/>
      <c r="C208" s="64" t="s">
        <v>110</v>
      </c>
      <c r="D208" s="65">
        <v>43235</v>
      </c>
      <c r="E208" s="66">
        <v>5.2499999999999998E-2</v>
      </c>
      <c r="F208" s="66">
        <v>5.0625000000000003E-2</v>
      </c>
      <c r="G208" s="66">
        <v>5.2170300000000003E-2</v>
      </c>
      <c r="H208" s="66">
        <v>5.4375E-2</v>
      </c>
      <c r="I208" s="66">
        <v>5.0625000000000003E-2</v>
      </c>
      <c r="J208" s="66">
        <v>5.16205E-2</v>
      </c>
      <c r="K208" s="66">
        <v>5.1874999999999998E-2</v>
      </c>
      <c r="L208" s="68"/>
      <c r="M208" s="68">
        <v>5177000</v>
      </c>
      <c r="N208" s="68">
        <v>4600000</v>
      </c>
      <c r="O208" s="68">
        <v>2500000</v>
      </c>
      <c r="P208" s="69">
        <f t="shared" si="13"/>
        <v>2.0708000000000002</v>
      </c>
      <c r="Q208" s="108">
        <v>5.1999999999999998E-2</v>
      </c>
      <c r="R208" s="56">
        <v>0</v>
      </c>
      <c r="S208" s="57">
        <v>0</v>
      </c>
      <c r="T208" s="57"/>
    </row>
    <row r="209" spans="1:20" ht="13.5" customHeight="1" x14ac:dyDescent="0.2">
      <c r="A209" s="73"/>
      <c r="B209" s="73"/>
      <c r="C209" s="64" t="s">
        <v>95</v>
      </c>
      <c r="D209" s="65">
        <v>46888</v>
      </c>
      <c r="E209" s="66">
        <v>6.1249999999999999E-2</v>
      </c>
      <c r="F209" s="66">
        <v>5.9687499999999998E-2</v>
      </c>
      <c r="G209" s="66">
        <v>6.0501899999999997E-2</v>
      </c>
      <c r="H209" s="66">
        <v>6.3750000000000001E-2</v>
      </c>
      <c r="I209" s="66">
        <v>5.9687499999999998E-2</v>
      </c>
      <c r="J209" s="66">
        <v>5.9989399999999998E-2</v>
      </c>
      <c r="K209" s="66">
        <v>0.06</v>
      </c>
      <c r="L209" s="68"/>
      <c r="M209" s="68">
        <v>9340000</v>
      </c>
      <c r="N209" s="68">
        <v>9300000</v>
      </c>
      <c r="O209" s="68">
        <v>1850000</v>
      </c>
      <c r="P209" s="69">
        <f t="shared" si="13"/>
        <v>5.0486486486486486</v>
      </c>
      <c r="Q209" s="108">
        <v>6.0499999999999998E-2</v>
      </c>
      <c r="R209" s="56">
        <v>0</v>
      </c>
      <c r="S209" s="57">
        <v>0</v>
      </c>
      <c r="T209" s="57"/>
    </row>
    <row r="210" spans="1:20" ht="13.5" customHeight="1" x14ac:dyDescent="0.2">
      <c r="A210" s="164"/>
      <c r="B210" s="164"/>
      <c r="C210" s="159" t="s">
        <v>98</v>
      </c>
      <c r="D210" s="160">
        <v>48714</v>
      </c>
      <c r="E210" s="161">
        <v>6.6250000000000003E-2</v>
      </c>
      <c r="F210" s="161">
        <v>6.2812499999999993E-2</v>
      </c>
      <c r="G210" s="161">
        <v>6.3654799999999997E-2</v>
      </c>
      <c r="H210" s="161">
        <v>6.4375000000000002E-2</v>
      </c>
      <c r="I210" s="161">
        <v>6.2812499999999993E-2</v>
      </c>
      <c r="J210" s="161">
        <v>6.3262200000000005E-2</v>
      </c>
      <c r="K210" s="161">
        <v>6.3437499999999994E-2</v>
      </c>
      <c r="L210" s="162"/>
      <c r="M210" s="162">
        <v>7812000</v>
      </c>
      <c r="N210" s="162">
        <v>7150000</v>
      </c>
      <c r="O210" s="162">
        <v>1150000</v>
      </c>
      <c r="P210" s="69">
        <f t="shared" si="13"/>
        <v>6.79304347826087</v>
      </c>
      <c r="Q210" s="163">
        <v>6.3600000000000004E-2</v>
      </c>
      <c r="R210" s="56">
        <v>1.9887751488813776E-3</v>
      </c>
      <c r="S210" s="57">
        <v>29293528.561597757</v>
      </c>
      <c r="T210" s="57"/>
    </row>
    <row r="211" spans="1:20" ht="13.5" customHeight="1" x14ac:dyDescent="0.2">
      <c r="A211" s="124">
        <v>41219</v>
      </c>
      <c r="B211" s="124">
        <v>41235</v>
      </c>
      <c r="C211" s="91" t="s">
        <v>114</v>
      </c>
      <c r="D211" s="92">
        <v>44887</v>
      </c>
      <c r="E211" s="94">
        <v>1.1299999999999999E-2</v>
      </c>
      <c r="F211" s="94"/>
      <c r="G211" s="94"/>
      <c r="H211" s="94"/>
      <c r="I211" s="94"/>
      <c r="J211" s="94"/>
      <c r="K211" s="94"/>
      <c r="L211" s="96">
        <v>7000000</v>
      </c>
      <c r="M211" s="166" t="s">
        <v>115</v>
      </c>
      <c r="N211" s="166" t="s">
        <v>115</v>
      </c>
      <c r="O211" s="166" t="s">
        <v>115</v>
      </c>
      <c r="P211" s="97"/>
      <c r="Q211" s="98">
        <v>4.5999999999999999E-2</v>
      </c>
      <c r="R211" s="56"/>
      <c r="S211" s="57"/>
      <c r="T211" s="57">
        <v>60000</v>
      </c>
    </row>
    <row r="212" spans="1:20" ht="13.5" customHeight="1" x14ac:dyDescent="0.2">
      <c r="A212" s="89"/>
      <c r="B212" s="99"/>
      <c r="C212" s="91"/>
      <c r="D212" s="92"/>
      <c r="E212" s="94"/>
      <c r="F212" s="94"/>
      <c r="G212" s="94"/>
      <c r="H212" s="94"/>
      <c r="I212" s="94"/>
      <c r="J212" s="94"/>
      <c r="K212" s="94"/>
      <c r="L212" s="96"/>
      <c r="M212" s="96">
        <f>$T$211*$T$212</f>
        <v>7012308</v>
      </c>
      <c r="N212" s="96">
        <f>$T$211*$T$212</f>
        <v>7012308</v>
      </c>
      <c r="O212" s="96">
        <f>$T$211*$T$212</f>
        <v>7012308</v>
      </c>
      <c r="P212" s="97"/>
      <c r="Q212" s="98"/>
      <c r="R212" s="56"/>
      <c r="S212" s="57"/>
      <c r="T212" s="57">
        <v>116.87179999999999</v>
      </c>
    </row>
    <row r="213" spans="1:20" s="71" customFormat="1" ht="13.5" customHeight="1" x14ac:dyDescent="0.2">
      <c r="A213" s="76">
        <v>41227</v>
      </c>
      <c r="B213" s="76">
        <v>41234</v>
      </c>
      <c r="C213" s="64" t="s">
        <v>116</v>
      </c>
      <c r="D213" s="65">
        <v>44886</v>
      </c>
      <c r="E213" s="66">
        <v>3.3000000000000002E-2</v>
      </c>
      <c r="F213" s="66"/>
      <c r="G213" s="66"/>
      <c r="H213" s="66"/>
      <c r="I213" s="66"/>
      <c r="J213" s="66"/>
      <c r="K213" s="66"/>
      <c r="L213" s="68">
        <v>9000000</v>
      </c>
      <c r="M213" s="152" t="s">
        <v>117</v>
      </c>
      <c r="N213" s="152" t="s">
        <v>117</v>
      </c>
      <c r="O213" s="152" t="s">
        <v>117</v>
      </c>
      <c r="P213" s="69"/>
      <c r="Q213" s="108">
        <v>4.5999999999999999E-2</v>
      </c>
      <c r="R213" s="108"/>
      <c r="S213" s="158"/>
      <c r="T213" s="158">
        <v>1000</v>
      </c>
    </row>
    <row r="214" spans="1:20" s="71" customFormat="1" ht="13.5" customHeight="1" x14ac:dyDescent="0.2">
      <c r="A214" s="73"/>
      <c r="B214" s="110"/>
      <c r="C214" s="64"/>
      <c r="D214" s="65"/>
      <c r="E214" s="66"/>
      <c r="F214" s="66"/>
      <c r="G214" s="66"/>
      <c r="H214" s="66"/>
      <c r="I214" s="66"/>
      <c r="J214" s="66"/>
      <c r="K214" s="66"/>
      <c r="L214" s="68"/>
      <c r="M214" s="68">
        <f>$T$213*$T$214</f>
        <v>9639000</v>
      </c>
      <c r="N214" s="68">
        <f>$T$213*$T$214</f>
        <v>9639000</v>
      </c>
      <c r="O214" s="68">
        <f>$T$213*$T$214</f>
        <v>9639000</v>
      </c>
      <c r="P214" s="69"/>
      <c r="Q214" s="108"/>
      <c r="R214" s="108"/>
      <c r="S214" s="158"/>
      <c r="T214" s="158">
        <v>9639</v>
      </c>
    </row>
    <row r="215" spans="1:20" ht="13.5" customHeight="1" x14ac:dyDescent="0.2">
      <c r="A215" s="124">
        <v>41246</v>
      </c>
      <c r="B215" s="124">
        <v>41248</v>
      </c>
      <c r="C215" s="91" t="s">
        <v>118</v>
      </c>
      <c r="D215" s="92">
        <v>41337</v>
      </c>
      <c r="E215" s="94"/>
      <c r="F215" s="94">
        <v>1.90625E-2</v>
      </c>
      <c r="G215" s="94">
        <v>3.3067300000000001E-2</v>
      </c>
      <c r="H215" s="94">
        <v>0.05</v>
      </c>
      <c r="I215" s="94">
        <v>1.90625E-2</v>
      </c>
      <c r="J215" s="94">
        <v>1.9508899999999999E-2</v>
      </c>
      <c r="K215" s="94">
        <v>0.02</v>
      </c>
      <c r="L215" s="96">
        <v>1000000</v>
      </c>
      <c r="M215" s="166">
        <v>5236000</v>
      </c>
      <c r="N215" s="166">
        <v>5236000</v>
      </c>
      <c r="O215" s="166">
        <v>700000</v>
      </c>
      <c r="P215" s="97">
        <f>M215/O215</f>
        <v>7.48</v>
      </c>
      <c r="Q215" s="98">
        <v>3.5000000000000003E-2</v>
      </c>
      <c r="R215" s="56"/>
      <c r="S215" s="57">
        <f>O215*J215/$R$10</f>
        <v>13993804.794879572</v>
      </c>
      <c r="T215" s="57"/>
    </row>
    <row r="216" spans="1:20" ht="13.5" customHeight="1" x14ac:dyDescent="0.2">
      <c r="A216" s="89"/>
      <c r="B216" s="99"/>
      <c r="C216" s="91" t="s">
        <v>119</v>
      </c>
      <c r="D216" s="92">
        <v>41612</v>
      </c>
      <c r="E216" s="94"/>
      <c r="F216" s="94">
        <v>4.2187500000000003E-2</v>
      </c>
      <c r="G216" s="94">
        <v>4.54952E-2</v>
      </c>
      <c r="H216" s="94">
        <v>7.0000000000000007E-2</v>
      </c>
      <c r="I216" s="94">
        <v>4.2187500000000003E-2</v>
      </c>
      <c r="J216" s="94">
        <v>4.2187500000000003E-2</v>
      </c>
      <c r="K216" s="94">
        <v>4.2187500000000003E-2</v>
      </c>
      <c r="L216" s="96"/>
      <c r="M216" s="96">
        <v>3917000</v>
      </c>
      <c r="N216" s="96">
        <v>1300000</v>
      </c>
      <c r="O216" s="96">
        <v>500000</v>
      </c>
      <c r="P216" s="97">
        <f>M216/O216</f>
        <v>7.8339999999999996</v>
      </c>
      <c r="Q216" s="98">
        <v>4.41E-2</v>
      </c>
      <c r="R216" s="56"/>
      <c r="S216" s="57"/>
      <c r="T216" s="57"/>
    </row>
    <row r="217" spans="1:20" ht="13.5" customHeight="1" x14ac:dyDescent="0.2">
      <c r="A217" s="30" t="s">
        <v>17</v>
      </c>
      <c r="B217" s="31"/>
      <c r="C217" s="32"/>
      <c r="D217" s="33" t="s">
        <v>18</v>
      </c>
      <c r="E217" s="34"/>
      <c r="F217" s="34"/>
      <c r="G217" s="34"/>
      <c r="H217" s="34"/>
      <c r="I217" s="34"/>
      <c r="J217" s="35"/>
      <c r="K217" s="35"/>
      <c r="L217" s="36">
        <f>SUM(L6:L216)</f>
        <v>241130000</v>
      </c>
      <c r="M217" s="36">
        <f>SUM(M6:M216)</f>
        <v>650421058</v>
      </c>
      <c r="N217" s="36">
        <f>SUM(N6:N216)</f>
        <v>342523758</v>
      </c>
      <c r="O217" s="36">
        <f>SUM(O6:O216)</f>
        <v>268547858</v>
      </c>
      <c r="P217" s="37">
        <f>M217/O217</f>
        <v>2.4219930959196105</v>
      </c>
      <c r="Q217" s="38"/>
      <c r="R217" s="87">
        <f>SUM(R6:R12)</f>
        <v>1.6493557546826533E-3</v>
      </c>
    </row>
    <row r="218" spans="1:20" x14ac:dyDescent="0.2">
      <c r="M218" s="39">
        <f>M217</f>
        <v>650421058</v>
      </c>
      <c r="N218" s="39">
        <f>N217</f>
        <v>342523758</v>
      </c>
      <c r="O218" s="39">
        <f>O217</f>
        <v>268547858</v>
      </c>
      <c r="R218" s="58"/>
    </row>
    <row r="219" spans="1:20" x14ac:dyDescent="0.2">
      <c r="A219" s="1" t="s">
        <v>31</v>
      </c>
      <c r="R219" s="39"/>
    </row>
    <row r="220" spans="1:20" x14ac:dyDescent="0.2">
      <c r="A220" s="1"/>
      <c r="M220" s="39"/>
      <c r="N220" s="39"/>
      <c r="O220" s="39"/>
      <c r="Q220" s="36"/>
    </row>
    <row r="221" spans="1:20" ht="27" customHeight="1" x14ac:dyDescent="0.2">
      <c r="A221" s="59"/>
      <c r="E221" s="39"/>
      <c r="F221" s="39"/>
      <c r="G221" s="39"/>
      <c r="H221" s="39"/>
      <c r="I221" s="39"/>
      <c r="J221" s="40"/>
      <c r="K221" s="40"/>
      <c r="L221" s="41" t="s">
        <v>19</v>
      </c>
      <c r="M221" s="41" t="s">
        <v>12</v>
      </c>
      <c r="N221" s="41" t="s">
        <v>13</v>
      </c>
      <c r="O221" s="41" t="s">
        <v>14</v>
      </c>
      <c r="Q221" s="36"/>
    </row>
    <row r="222" spans="1:20" x14ac:dyDescent="0.2">
      <c r="E222" s="39"/>
      <c r="F222" s="39"/>
      <c r="G222" s="39"/>
      <c r="H222" s="39"/>
      <c r="I222" s="39"/>
      <c r="L222" s="47" t="s">
        <v>20</v>
      </c>
      <c r="M222" s="42">
        <f>SUM(M8:M10,M15:M17,M24:M26,M34:M36,M43:M45,M54:M56,M65:M67,M75:M77,M89:M91,M100:M102,M109:M111,M119:M121,M129:M131,M139:M141,M154:M156,M158:M161,M169:M171,M178:M180,M188:M190,M198:M200,M208:M210)</f>
        <v>298268400</v>
      </c>
      <c r="N222" s="42">
        <f>SUM(N8:N10,N15:N17,N24:N26,N34:N36,N43:N45,N54:N56,N65:N67,N75:N77,N89:N91,N100:N102,N109:N111,N119:N121,N129:N131,N139:N141,N154:N156,N158:N161,N169:N171,N178:N180,N188:N190,N198:N200,N208:N210)</f>
        <v>170290600</v>
      </c>
      <c r="O222" s="42">
        <f>SUM(O8:O10,O15:O17,O24:O26,O34:O36,O43:O45,O54:O56,O65:O67,O75:O77,O89:O91,O100:O102,O109:O111,O119:O121,O129:O131,O139:O141,O154:O156,O158:O161,O169:O171,O178:O180,O188:O190,O198:O200,O208:O210)</f>
        <v>122245000</v>
      </c>
      <c r="P222" s="43"/>
      <c r="Q222" s="102"/>
      <c r="R222" s="40"/>
    </row>
    <row r="223" spans="1:20" x14ac:dyDescent="0.2">
      <c r="B223" s="39"/>
      <c r="C223" s="2" t="s">
        <v>18</v>
      </c>
      <c r="E223" s="39"/>
      <c r="F223" s="39"/>
      <c r="G223" s="39"/>
      <c r="H223" s="39"/>
      <c r="I223" s="39"/>
      <c r="L223" s="48" t="s">
        <v>21</v>
      </c>
      <c r="M223" s="49"/>
      <c r="N223" s="49"/>
      <c r="O223" s="49"/>
      <c r="S223" s="39"/>
    </row>
    <row r="224" spans="1:20" x14ac:dyDescent="0.2">
      <c r="B224" s="39"/>
      <c r="E224" s="39"/>
      <c r="F224" s="39"/>
      <c r="G224" s="39"/>
      <c r="H224" s="39"/>
      <c r="I224" s="39"/>
      <c r="L224" s="47" t="s">
        <v>22</v>
      </c>
      <c r="M224" s="42">
        <f>M191</f>
        <v>12765145</v>
      </c>
      <c r="N224" s="42">
        <f>N191</f>
        <v>12676745</v>
      </c>
      <c r="O224" s="42">
        <f>O191</f>
        <v>12676745</v>
      </c>
    </row>
    <row r="225" spans="1:20" x14ac:dyDescent="0.2">
      <c r="B225" s="39"/>
      <c r="E225" s="39"/>
      <c r="F225" s="39"/>
      <c r="G225" s="39"/>
      <c r="H225" s="39"/>
      <c r="I225" s="39"/>
      <c r="L225" s="48" t="s">
        <v>23</v>
      </c>
      <c r="M225" s="49">
        <f>SUM(M6:M7,M13:M14,M22:M23,M32:M33,M41:M42,M52:M53,M64,M73:M74,M88,M98:M99,M108,M117:M118,M128,M137:M138,M152:M153,M157,M167:M168,M177,M186:M187,M197,M206:M207,M215:M216)</f>
        <v>132318900</v>
      </c>
      <c r="N225" s="49">
        <f>SUM(N6:N7,N13:N14,N22:N23,N32:N33,N41:N42,N52:N53,N64,N73:N74,N88,N98:N99,N108,N117:N118,N128,N137:N138,N152:N153,N157,N167:N168,N177,N186:N187,N197,N206:N207,N215:N216)</f>
        <v>65992300</v>
      </c>
      <c r="O225" s="49">
        <f>SUM(O6:O7,O13:O14,O22:O23,O32:O33,O41:O42,O52:O53,O64,O73:O74,O88,O98:O99,O108,O117:O118,O128,O137:O138,O152:O153,O157,O167:O168,O177,O186:O187,O197,O206:O207,O215:O216)</f>
        <v>30520000</v>
      </c>
    </row>
    <row r="226" spans="1:20" x14ac:dyDescent="0.2">
      <c r="B226" s="39"/>
      <c r="E226" s="39"/>
      <c r="F226" s="39"/>
      <c r="G226" s="39"/>
      <c r="H226" s="39"/>
      <c r="I226" s="39"/>
      <c r="L226" s="47" t="s">
        <v>24</v>
      </c>
      <c r="M226" s="42">
        <f>M12+M79+M81</f>
        <v>105577000</v>
      </c>
      <c r="N226" s="42">
        <f>N12+N79+N81</f>
        <v>39005000</v>
      </c>
      <c r="O226" s="42">
        <f>O12+O79+O81</f>
        <v>39005000</v>
      </c>
    </row>
    <row r="227" spans="1:20" ht="20.25" x14ac:dyDescent="0.3">
      <c r="B227" s="39"/>
      <c r="E227" s="39"/>
      <c r="F227" s="39"/>
      <c r="G227" s="39"/>
      <c r="H227" s="39"/>
      <c r="I227" s="39"/>
      <c r="L227" s="48" t="s">
        <v>25</v>
      </c>
      <c r="M227" s="49">
        <f>M212</f>
        <v>7012308</v>
      </c>
      <c r="N227" s="49">
        <f>N212</f>
        <v>7012308</v>
      </c>
      <c r="O227" s="49">
        <f>O212</f>
        <v>7012308</v>
      </c>
      <c r="P227" s="154"/>
    </row>
    <row r="228" spans="1:20" x14ac:dyDescent="0.2">
      <c r="E228" s="39"/>
      <c r="F228" s="39"/>
      <c r="G228" s="39"/>
      <c r="H228" s="39"/>
      <c r="I228" s="39"/>
      <c r="L228" s="47" t="s">
        <v>26</v>
      </c>
      <c r="M228" s="42">
        <f>M214</f>
        <v>9639000</v>
      </c>
      <c r="N228" s="42">
        <f>N214</f>
        <v>9639000</v>
      </c>
      <c r="O228" s="42">
        <f>O214</f>
        <v>9639000</v>
      </c>
      <c r="T228" s="2" t="s">
        <v>18</v>
      </c>
    </row>
    <row r="229" spans="1:20" x14ac:dyDescent="0.2">
      <c r="A229" s="39"/>
      <c r="L229" s="48" t="s">
        <v>30</v>
      </c>
      <c r="M229" s="49">
        <f>M51</f>
        <v>13613805</v>
      </c>
      <c r="N229" s="49">
        <f>N51</f>
        <v>13613805</v>
      </c>
      <c r="O229" s="49">
        <f>O51</f>
        <v>13613805</v>
      </c>
    </row>
    <row r="230" spans="1:20" x14ac:dyDescent="0.2">
      <c r="L230" s="47" t="s">
        <v>29</v>
      </c>
      <c r="M230" s="42">
        <f>SUM(M21)</f>
        <v>1676000</v>
      </c>
      <c r="N230" s="42">
        <f>SUM(N21)</f>
        <v>400000</v>
      </c>
      <c r="O230" s="42">
        <f>SUM(O21)</f>
        <v>400000</v>
      </c>
    </row>
    <row r="231" spans="1:20" x14ac:dyDescent="0.2">
      <c r="L231" s="47" t="s">
        <v>36</v>
      </c>
      <c r="M231" s="42">
        <f>SUM(M18:M20,M28:M31,M37:M40,M47:M50,M60:M63,M69:M72,M82:M85,M93:M96,M103:M106,M113:M116,M122:M125,M133:M136,M143:M146,M148:M151,M163:M166,M173:M176,M182:M185,M193:M196,M202:M205)</f>
        <v>41396500</v>
      </c>
      <c r="N231" s="42">
        <f>SUM(N18:N20,N28:N31,N37:N40,N47:N50,N60:N63,N69:N72,N82:N85,N93:N96,N103:N106,N113:N116,N122:N125,N133:N136,N143:N146,N148:N151,N163:N166,N173:N176,N182:N185,N193:N196,N202:N205)</f>
        <v>7367000</v>
      </c>
      <c r="O231" s="42">
        <f>SUM(O18:O20,O28:O31,O37:O40,O47:O50,O60:O63,O69:O72,O82:O85,O93:O96,O103:O106,O113:O116,O122:O125,O133:O136,O143:O146,O148:O151,O163:O166,O173:O176,O182:O185,O193:O196,O202:O205)</f>
        <v>16714000</v>
      </c>
    </row>
    <row r="232" spans="1:20" x14ac:dyDescent="0.2">
      <c r="L232" s="47" t="s">
        <v>33</v>
      </c>
      <c r="M232" s="42">
        <f>SUM(M27,M46,M68,M92,M97,M112,M132,M142,M147,M162,M172,M181,M192,M201)</f>
        <v>12812000</v>
      </c>
      <c r="N232" s="42">
        <f>SUM(N27,N46,N68,N92,N97,N112,N132,N142,N147,N162,N172,N181,N192,N201)</f>
        <v>1185000</v>
      </c>
      <c r="O232" s="42">
        <f>SUM(O27,O46,O68,O92,O97,O112,O132,O142,O147,O162,O172,O181,O192,O201)</f>
        <v>1380000</v>
      </c>
    </row>
    <row r="233" spans="1:20" x14ac:dyDescent="0.2">
      <c r="L233" s="51" t="s">
        <v>17</v>
      </c>
      <c r="M233" s="52">
        <f>SUM(M222:M232)</f>
        <v>635079058</v>
      </c>
      <c r="N233" s="52">
        <f>SUM(N222:N232)</f>
        <v>327181758</v>
      </c>
      <c r="O233" s="52">
        <f>SUM(O222:O232)</f>
        <v>253205858</v>
      </c>
    </row>
    <row r="234" spans="1:20" x14ac:dyDescent="0.2">
      <c r="L234" s="48" t="s">
        <v>27</v>
      </c>
      <c r="M234" s="49">
        <f>SUM(M57:M59,M86:M87,M107,M126:M127)</f>
        <v>15342000</v>
      </c>
      <c r="N234" s="49">
        <f>SUM(N57:N59,N86:N87,N107,N126:N127)</f>
        <v>15342000</v>
      </c>
      <c r="O234" s="49">
        <f>SUM(O57:O59,O86:O87,O107,O126:O127)</f>
        <v>15342000</v>
      </c>
    </row>
    <row r="235" spans="1:20" x14ac:dyDescent="0.2">
      <c r="L235" s="44" t="s">
        <v>28</v>
      </c>
      <c r="M235" s="45">
        <f>M233+M234</f>
        <v>650421058</v>
      </c>
      <c r="N235" s="45">
        <f>N233+N234</f>
        <v>342523758</v>
      </c>
      <c r="O235" s="45">
        <f>O233+O234</f>
        <v>268547858</v>
      </c>
    </row>
    <row r="236" spans="1:20" x14ac:dyDescent="0.2">
      <c r="M236" s="1" t="b">
        <f>IF(M217=M235,TRUE,FALSE)</f>
        <v>1</v>
      </c>
      <c r="N236" s="1" t="b">
        <f>IF(N217=N235,TRUE,FALSE)</f>
        <v>1</v>
      </c>
      <c r="O236" s="1" t="b">
        <f>IF(O217=O235,TRUE,FALSE)</f>
        <v>1</v>
      </c>
    </row>
    <row r="238" spans="1:20" x14ac:dyDescent="0.2">
      <c r="M238" s="39"/>
      <c r="N238" s="39"/>
      <c r="O238" s="39"/>
    </row>
    <row r="239" spans="1:20" x14ac:dyDescent="0.2">
      <c r="O239" s="39"/>
    </row>
    <row r="240" spans="1:20" x14ac:dyDescent="0.2">
      <c r="O240" s="86"/>
    </row>
    <row r="241" spans="12:16" x14ac:dyDescent="0.2">
      <c r="M241" s="39"/>
      <c r="N241" s="39"/>
      <c r="O241" s="86"/>
    </row>
    <row r="242" spans="12:16" x14ac:dyDescent="0.2">
      <c r="O242" s="86"/>
    </row>
    <row r="247" spans="12:16" x14ac:dyDescent="0.2">
      <c r="N247" s="116" t="s">
        <v>76</v>
      </c>
      <c r="O247" s="116"/>
      <c r="P247" s="117">
        <v>270419408</v>
      </c>
    </row>
    <row r="248" spans="12:16" x14ac:dyDescent="0.2">
      <c r="N248" s="116" t="s">
        <v>77</v>
      </c>
      <c r="O248" s="116"/>
      <c r="P248" s="118">
        <f>P247-O217</f>
        <v>1871550</v>
      </c>
    </row>
    <row r="249" spans="12:16" x14ac:dyDescent="0.2">
      <c r="L249" s="2">
        <f>223+48</f>
        <v>271</v>
      </c>
      <c r="N249" s="116" t="s">
        <v>72</v>
      </c>
      <c r="O249" s="116"/>
      <c r="P249" s="119">
        <f>O217/P247</f>
        <v>0.99307908402787426</v>
      </c>
    </row>
    <row r="250" spans="12:16" x14ac:dyDescent="0.2">
      <c r="N250" s="466" t="s">
        <v>73</v>
      </c>
      <c r="O250" s="467"/>
      <c r="P250" s="120">
        <f>100%-P249</f>
        <v>6.9209159721257407E-3</v>
      </c>
    </row>
    <row r="259" spans="15:15" x14ac:dyDescent="0.2">
      <c r="O259" s="29"/>
    </row>
  </sheetData>
  <mergeCells count="3">
    <mergeCell ref="A78:A81"/>
    <mergeCell ref="B78:B81"/>
    <mergeCell ref="N250:O250"/>
  </mergeCells>
  <printOptions horizontalCentered="1"/>
  <pageMargins left="0" right="0" top="0.27" bottom="0.3" header="0.17" footer="0.19"/>
  <pageSetup paperSize="9" scale="53" orientation="landscape" r:id="rId1"/>
  <headerFooter alignWithMargins="0">
    <oddFooter>Page &amp;P of &amp;N</oddFooter>
  </headerFooter>
  <rowBreaks count="3" manualBreakCount="3">
    <brk id="72" max="16" man="1"/>
    <brk id="146" max="16" man="1"/>
    <brk id="219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512"/>
  <sheetViews>
    <sheetView showGridLines="0" tabSelected="1" zoomScale="110" zoomScaleNormal="110" zoomScaleSheetLayoutView="115" workbookViewId="0">
      <pane xSplit="4" ySplit="3" topLeftCell="E496" activePane="bottomRight" state="frozen"/>
      <selection pane="topRight" activeCell="D1" sqref="D1"/>
      <selection pane="bottomLeft" activeCell="A4" sqref="A4"/>
      <selection pane="bottomRight" activeCell="K513" sqref="K513"/>
    </sheetView>
  </sheetViews>
  <sheetFormatPr defaultColWidth="9.140625" defaultRowHeight="11.25" outlineLevelRow="1" x14ac:dyDescent="0.2"/>
  <cols>
    <col min="1" max="1" width="9.140625" style="170" customWidth="1"/>
    <col min="2" max="2" width="12.28515625" style="170" customWidth="1"/>
    <col min="3" max="3" width="16.28515625" style="170" bestFit="1" customWidth="1"/>
    <col min="4" max="4" width="13.5703125" style="2" bestFit="1" customWidth="1"/>
    <col min="5" max="5" width="13.28515625" style="170" bestFit="1" customWidth="1"/>
    <col min="6" max="6" width="12" style="172" customWidth="1"/>
    <col min="7" max="8" width="10.7109375" style="170" customWidth="1"/>
    <col min="9" max="9" width="12.28515625" style="170" customWidth="1"/>
    <col min="10" max="10" width="11.140625" style="170" bestFit="1" customWidth="1"/>
    <col min="11" max="11" width="16.85546875" style="170" bestFit="1" customWidth="1"/>
    <col min="12" max="12" width="15.7109375" style="170" bestFit="1" customWidth="1"/>
    <col min="13" max="13" width="8" style="170" bestFit="1" customWidth="1"/>
    <col min="14" max="16384" width="9.140625" style="2"/>
  </cols>
  <sheetData>
    <row r="1" spans="1:13" ht="24.75" customHeight="1" x14ac:dyDescent="0.2">
      <c r="A1" s="200" t="s">
        <v>140</v>
      </c>
      <c r="B1" s="168"/>
      <c r="C1" s="168"/>
      <c r="D1" s="180"/>
    </row>
    <row r="2" spans="1:13" x14ac:dyDescent="0.2">
      <c r="D2" s="180"/>
      <c r="L2" s="499" t="s">
        <v>129</v>
      </c>
      <c r="M2" s="499"/>
    </row>
    <row r="3" spans="1:13" ht="45" x14ac:dyDescent="0.2">
      <c r="A3" s="175" t="s">
        <v>122</v>
      </c>
      <c r="B3" s="175" t="s">
        <v>141</v>
      </c>
      <c r="C3" s="175" t="s">
        <v>123</v>
      </c>
      <c r="D3" s="175" t="s">
        <v>124</v>
      </c>
      <c r="E3" s="175" t="s">
        <v>125</v>
      </c>
      <c r="F3" s="176" t="s">
        <v>126</v>
      </c>
      <c r="G3" s="175" t="s">
        <v>5</v>
      </c>
      <c r="H3" s="175" t="s">
        <v>7</v>
      </c>
      <c r="I3" s="177" t="s">
        <v>120</v>
      </c>
      <c r="J3" s="175" t="s">
        <v>10</v>
      </c>
      <c r="K3" s="175" t="s">
        <v>127</v>
      </c>
      <c r="L3" s="175" t="s">
        <v>142</v>
      </c>
      <c r="M3" s="175" t="s">
        <v>15</v>
      </c>
    </row>
    <row r="4" spans="1:13" s="71" customFormat="1" ht="12.75" customHeight="1" outlineLevel="1" x14ac:dyDescent="0.2">
      <c r="A4" s="178">
        <v>43837</v>
      </c>
      <c r="B4" s="178">
        <v>43839</v>
      </c>
      <c r="C4" s="174" t="s">
        <v>145</v>
      </c>
      <c r="D4" s="201" t="s">
        <v>135</v>
      </c>
      <c r="E4" s="171">
        <v>43931</v>
      </c>
      <c r="F4" s="183" t="s">
        <v>128</v>
      </c>
      <c r="G4" s="183">
        <v>4.2500000000000003E-2</v>
      </c>
      <c r="H4" s="183">
        <v>4.9500000000000002E-2</v>
      </c>
      <c r="I4" s="179">
        <v>4.4173299999999999E-2</v>
      </c>
      <c r="J4" s="194">
        <v>4.4999999999999998E-2</v>
      </c>
      <c r="K4" s="189">
        <v>13200000</v>
      </c>
      <c r="L4" s="190">
        <v>1500000</v>
      </c>
      <c r="M4" s="191">
        <f>IF(L4=0,0,K4/L4)</f>
        <v>8.8000000000000007</v>
      </c>
    </row>
    <row r="5" spans="1:13" s="71" customFormat="1" ht="12.75" customHeight="1" outlineLevel="1" x14ac:dyDescent="0.2">
      <c r="A5" s="178"/>
      <c r="B5" s="171"/>
      <c r="C5" s="174"/>
      <c r="D5" s="201" t="s">
        <v>143</v>
      </c>
      <c r="E5" s="171">
        <v>44204</v>
      </c>
      <c r="F5" s="183" t="s">
        <v>128</v>
      </c>
      <c r="G5" s="183">
        <v>4.6399999999999997E-2</v>
      </c>
      <c r="H5" s="183">
        <v>5.2999999999999999E-2</v>
      </c>
      <c r="I5" s="183">
        <v>4.6406700000000002E-2</v>
      </c>
      <c r="J5" s="179">
        <v>4.65E-2</v>
      </c>
      <c r="K5" s="173">
        <v>12440000</v>
      </c>
      <c r="L5" s="185">
        <v>1500000</v>
      </c>
      <c r="M5" s="184">
        <f t="shared" ref="M5:M30" si="0">IF(L5=0,0,K5/L5)</f>
        <v>8.293333333333333</v>
      </c>
    </row>
    <row r="6" spans="1:13" s="71" customFormat="1" ht="12.75" customHeight="1" outlineLevel="1" x14ac:dyDescent="0.2">
      <c r="A6" s="169"/>
      <c r="B6" s="169"/>
      <c r="C6" s="169"/>
      <c r="D6" s="201" t="s">
        <v>137</v>
      </c>
      <c r="E6" s="171">
        <v>45823</v>
      </c>
      <c r="F6" s="183">
        <v>6.5000000000000002E-2</v>
      </c>
      <c r="G6" s="183">
        <v>6.3500000000000001E-2</v>
      </c>
      <c r="H6" s="183">
        <v>6.5000000000000002E-2</v>
      </c>
      <c r="I6" s="179">
        <v>6.3793900000000001E-2</v>
      </c>
      <c r="J6" s="179">
        <v>6.3899999999999998E-2</v>
      </c>
      <c r="K6" s="173">
        <v>17034400</v>
      </c>
      <c r="L6" s="185">
        <v>5650000</v>
      </c>
      <c r="M6" s="184">
        <f t="shared" si="0"/>
        <v>3.0149380530973451</v>
      </c>
    </row>
    <row r="7" spans="1:13" s="71" customFormat="1" ht="12.75" customHeight="1" outlineLevel="1" x14ac:dyDescent="0.2">
      <c r="A7" s="169"/>
      <c r="B7" s="169"/>
      <c r="C7" s="169"/>
      <c r="D7" s="201" t="s">
        <v>138</v>
      </c>
      <c r="E7" s="171">
        <v>47741</v>
      </c>
      <c r="F7" s="183">
        <v>7.0000000000000007E-2</v>
      </c>
      <c r="G7" s="183">
        <v>7.0499999999999993E-2</v>
      </c>
      <c r="H7" s="183">
        <v>7.1900000000000006E-2</v>
      </c>
      <c r="I7" s="179">
        <v>7.09341E-2</v>
      </c>
      <c r="J7" s="179">
        <v>7.0999999999999994E-2</v>
      </c>
      <c r="K7" s="173">
        <v>28785500</v>
      </c>
      <c r="L7" s="192">
        <v>6400000</v>
      </c>
      <c r="M7" s="193">
        <f t="shared" si="0"/>
        <v>4.4977343750000003</v>
      </c>
    </row>
    <row r="8" spans="1:13" s="71" customFormat="1" ht="12.75" customHeight="1" outlineLevel="1" x14ac:dyDescent="0.2">
      <c r="A8" s="169"/>
      <c r="B8" s="169"/>
      <c r="C8" s="169"/>
      <c r="D8" s="201" t="s">
        <v>136</v>
      </c>
      <c r="E8" s="171">
        <v>49475</v>
      </c>
      <c r="F8" s="183">
        <v>7.4999999999999997E-2</v>
      </c>
      <c r="G8" s="183">
        <v>7.4200000000000002E-2</v>
      </c>
      <c r="H8" s="183">
        <v>7.5499999999999998E-2</v>
      </c>
      <c r="I8" s="179">
        <v>7.4438400000000002E-2</v>
      </c>
      <c r="J8" s="179">
        <v>7.4499999999999997E-2</v>
      </c>
      <c r="K8" s="173">
        <v>6050000</v>
      </c>
      <c r="L8" s="192">
        <v>3100000</v>
      </c>
      <c r="M8" s="193">
        <f t="shared" si="0"/>
        <v>1.9516129032258065</v>
      </c>
    </row>
    <row r="9" spans="1:13" s="71" customFormat="1" ht="12.75" customHeight="1" outlineLevel="1" x14ac:dyDescent="0.2">
      <c r="A9" s="169"/>
      <c r="B9" s="169"/>
      <c r="C9" s="169"/>
      <c r="D9" s="201" t="s">
        <v>144</v>
      </c>
      <c r="E9" s="171">
        <v>51241</v>
      </c>
      <c r="F9" s="183">
        <v>7.4999999999999997E-2</v>
      </c>
      <c r="G9" s="183">
        <v>7.5200000000000003E-2</v>
      </c>
      <c r="H9" s="183">
        <v>7.6499999999999999E-2</v>
      </c>
      <c r="I9" s="179">
        <v>7.5388800000000006E-2</v>
      </c>
      <c r="J9" s="179">
        <v>7.5499999999999998E-2</v>
      </c>
      <c r="K9" s="173">
        <v>2412500</v>
      </c>
      <c r="L9" s="192">
        <v>750000</v>
      </c>
      <c r="M9" s="193">
        <f t="shared" si="0"/>
        <v>3.2166666666666668</v>
      </c>
    </row>
    <row r="10" spans="1:13" s="71" customFormat="1" ht="12.75" customHeight="1" outlineLevel="1" x14ac:dyDescent="0.2">
      <c r="A10" s="169"/>
      <c r="B10" s="169"/>
      <c r="C10" s="169"/>
      <c r="D10" s="201" t="s">
        <v>134</v>
      </c>
      <c r="E10" s="171">
        <v>54193</v>
      </c>
      <c r="F10" s="183">
        <v>7.3749999999999996E-2</v>
      </c>
      <c r="G10" s="183">
        <v>7.6899999999999996E-2</v>
      </c>
      <c r="H10" s="183">
        <v>7.8799999999999995E-2</v>
      </c>
      <c r="I10" s="179">
        <v>7.7189400000000005E-2</v>
      </c>
      <c r="J10" s="179">
        <v>7.7299999999999994E-2</v>
      </c>
      <c r="K10" s="173">
        <v>1619800</v>
      </c>
      <c r="L10" s="192">
        <v>1100000</v>
      </c>
      <c r="M10" s="193">
        <f t="shared" si="0"/>
        <v>1.4725454545454546</v>
      </c>
    </row>
    <row r="11" spans="1:13" s="206" customFormat="1" ht="12.75" customHeight="1" outlineLevel="1" x14ac:dyDescent="0.2">
      <c r="A11" s="477" t="s">
        <v>121</v>
      </c>
      <c r="B11" s="478"/>
      <c r="C11" s="478"/>
      <c r="D11" s="478"/>
      <c r="E11" s="478"/>
      <c r="F11" s="478"/>
      <c r="G11" s="478"/>
      <c r="H11" s="478"/>
      <c r="I11" s="478"/>
      <c r="J11" s="479"/>
      <c r="K11" s="203">
        <f>SUM(K4:K10)</f>
        <v>81542200</v>
      </c>
      <c r="L11" s="203">
        <f>SUM(L4:L10)</f>
        <v>20000000</v>
      </c>
      <c r="M11" s="204"/>
    </row>
    <row r="12" spans="1:13" s="206" customFormat="1" ht="12.75" customHeight="1" outlineLevel="1" x14ac:dyDescent="0.2">
      <c r="A12" s="171">
        <v>43837</v>
      </c>
      <c r="B12" s="171">
        <v>43844</v>
      </c>
      <c r="C12" s="174" t="s">
        <v>149</v>
      </c>
      <c r="D12" s="201" t="s">
        <v>150</v>
      </c>
      <c r="E12" s="171">
        <v>11003</v>
      </c>
      <c r="F12" s="183">
        <v>2.8500000000000001E-2</v>
      </c>
      <c r="G12" s="183"/>
      <c r="H12" s="183"/>
      <c r="I12" s="179">
        <v>2.8799999999999999E-2</v>
      </c>
      <c r="J12" s="179"/>
      <c r="K12" s="195" t="s">
        <v>151</v>
      </c>
      <c r="L12" s="195" t="s">
        <v>151</v>
      </c>
      <c r="M12" s="193"/>
    </row>
    <row r="13" spans="1:13" s="71" customFormat="1" ht="12.75" customHeight="1" outlineLevel="1" x14ac:dyDescent="0.2">
      <c r="A13" s="169"/>
      <c r="B13" s="169"/>
      <c r="C13" s="174"/>
      <c r="D13" s="201"/>
      <c r="E13" s="171"/>
      <c r="F13" s="183"/>
      <c r="G13" s="183"/>
      <c r="H13" s="183"/>
      <c r="I13" s="179"/>
      <c r="J13" s="179"/>
      <c r="K13" s="192">
        <f>13654*750000000/1000000</f>
        <v>10240500</v>
      </c>
      <c r="L13" s="192">
        <v>10240500</v>
      </c>
      <c r="M13" s="193"/>
    </row>
    <row r="14" spans="1:13" s="71" customFormat="1" ht="12.75" customHeight="1" outlineLevel="1" x14ac:dyDescent="0.2">
      <c r="A14" s="169"/>
      <c r="B14" s="171">
        <v>43844</v>
      </c>
      <c r="C14" s="174"/>
      <c r="D14" s="201" t="s">
        <v>152</v>
      </c>
      <c r="E14" s="171">
        <v>18308</v>
      </c>
      <c r="F14" s="183">
        <v>3.5000000000000003E-2</v>
      </c>
      <c r="G14" s="183"/>
      <c r="H14" s="183"/>
      <c r="I14" s="179">
        <v>3.5499999999999997E-2</v>
      </c>
      <c r="J14" s="179"/>
      <c r="K14" s="195" t="s">
        <v>153</v>
      </c>
      <c r="L14" s="195" t="s">
        <v>153</v>
      </c>
      <c r="M14" s="193"/>
    </row>
    <row r="15" spans="1:13" s="71" customFormat="1" ht="12.75" customHeight="1" outlineLevel="1" x14ac:dyDescent="0.2">
      <c r="A15" s="169"/>
      <c r="B15" s="169"/>
      <c r="C15" s="174"/>
      <c r="D15" s="201"/>
      <c r="E15" s="171"/>
      <c r="F15" s="183"/>
      <c r="G15" s="183"/>
      <c r="H15" s="183"/>
      <c r="I15" s="179"/>
      <c r="J15" s="179"/>
      <c r="K15" s="192">
        <f>13654*1250000000/1000000</f>
        <v>17067500</v>
      </c>
      <c r="L15" s="192">
        <v>17067500</v>
      </c>
      <c r="M15" s="193"/>
    </row>
    <row r="16" spans="1:13" s="71" customFormat="1" ht="12.75" customHeight="1" outlineLevel="1" x14ac:dyDescent="0.2">
      <c r="A16" s="169"/>
      <c r="B16" s="171">
        <v>43844</v>
      </c>
      <c r="C16" s="174"/>
      <c r="D16" s="201" t="s">
        <v>154</v>
      </c>
      <c r="E16" s="171">
        <v>46432</v>
      </c>
      <c r="F16" s="183">
        <v>8.9999999999999993E-3</v>
      </c>
      <c r="G16" s="183"/>
      <c r="H16" s="183"/>
      <c r="I16" s="179">
        <v>9.5300000000000003E-3</v>
      </c>
      <c r="J16" s="179"/>
      <c r="K16" s="195" t="s">
        <v>155</v>
      </c>
      <c r="L16" s="195" t="s">
        <v>155</v>
      </c>
      <c r="M16" s="193"/>
    </row>
    <row r="17" spans="1:13" s="71" customFormat="1" ht="12.75" customHeight="1" outlineLevel="1" x14ac:dyDescent="0.2">
      <c r="A17" s="169"/>
      <c r="B17" s="169"/>
      <c r="C17" s="174"/>
      <c r="D17" s="201"/>
      <c r="E17" s="171"/>
      <c r="F17" s="183"/>
      <c r="G17" s="183"/>
      <c r="H17" s="183"/>
      <c r="I17" s="179"/>
      <c r="J17" s="179"/>
      <c r="K17" s="192">
        <f>15207.83*1000000000/1000000</f>
        <v>15207830</v>
      </c>
      <c r="L17" s="192">
        <v>15207830</v>
      </c>
      <c r="M17" s="193"/>
    </row>
    <row r="18" spans="1:13" s="71" customFormat="1" ht="12.75" customHeight="1" outlineLevel="1" x14ac:dyDescent="0.2">
      <c r="A18" s="477" t="s">
        <v>121</v>
      </c>
      <c r="B18" s="478"/>
      <c r="C18" s="478"/>
      <c r="D18" s="478"/>
      <c r="E18" s="478"/>
      <c r="F18" s="478"/>
      <c r="G18" s="478"/>
      <c r="H18" s="478"/>
      <c r="I18" s="478"/>
      <c r="J18" s="479"/>
      <c r="K18" s="203">
        <f>SUM(K13,K15,K17)</f>
        <v>42515830</v>
      </c>
      <c r="L18" s="203">
        <f>SUM(L13,L15,L17)</f>
        <v>42515830</v>
      </c>
      <c r="M18" s="204"/>
    </row>
    <row r="19" spans="1:13" s="71" customFormat="1" ht="12.75" customHeight="1" outlineLevel="1" x14ac:dyDescent="0.2">
      <c r="A19" s="171">
        <v>43844</v>
      </c>
      <c r="B19" s="171">
        <v>43846</v>
      </c>
      <c r="C19" s="174" t="s">
        <v>145</v>
      </c>
      <c r="D19" s="201" t="s">
        <v>146</v>
      </c>
      <c r="E19" s="171">
        <v>44027</v>
      </c>
      <c r="F19" s="183" t="s">
        <v>128</v>
      </c>
      <c r="G19" s="183">
        <v>4.1250000000000002E-2</v>
      </c>
      <c r="H19" s="183">
        <v>4.6249999999999999E-2</v>
      </c>
      <c r="I19" s="179">
        <v>4.2041700000000001E-2</v>
      </c>
      <c r="J19" s="179">
        <v>4.6249999999999999E-2</v>
      </c>
      <c r="K19" s="195">
        <v>21150000</v>
      </c>
      <c r="L19" s="195">
        <v>1500000</v>
      </c>
      <c r="M19" s="193">
        <f t="shared" si="0"/>
        <v>14.1</v>
      </c>
    </row>
    <row r="20" spans="1:13" s="71" customFormat="1" ht="12.75" customHeight="1" outlineLevel="1" x14ac:dyDescent="0.2">
      <c r="A20" s="169"/>
      <c r="B20" s="169"/>
      <c r="C20" s="169"/>
      <c r="D20" s="201" t="s">
        <v>49</v>
      </c>
      <c r="E20" s="171">
        <v>44576</v>
      </c>
      <c r="F20" s="183">
        <v>5.45E-2</v>
      </c>
      <c r="G20" s="183">
        <v>5.7500000000000002E-2</v>
      </c>
      <c r="H20" s="183">
        <v>6.3125000000000001E-2</v>
      </c>
      <c r="I20" s="179">
        <v>5.8515299999999999E-2</v>
      </c>
      <c r="J20" s="179">
        <v>6.3125000000000001E-2</v>
      </c>
      <c r="K20" s="195">
        <v>22182000</v>
      </c>
      <c r="L20" s="195">
        <v>1550000</v>
      </c>
      <c r="M20" s="193">
        <f t="shared" si="0"/>
        <v>14.310967741935483</v>
      </c>
    </row>
    <row r="21" spans="1:13" s="71" customFormat="1" ht="12.75" customHeight="1" outlineLevel="1" x14ac:dyDescent="0.2">
      <c r="A21" s="169"/>
      <c r="B21" s="169"/>
      <c r="C21" s="169"/>
      <c r="D21" s="201" t="s">
        <v>147</v>
      </c>
      <c r="E21" s="171">
        <v>45580</v>
      </c>
      <c r="F21" s="183">
        <v>6.6250000000000003E-2</v>
      </c>
      <c r="G21" s="183">
        <v>6.4062499999999994E-2</v>
      </c>
      <c r="H21" s="183">
        <v>6.7812499999999998E-2</v>
      </c>
      <c r="I21" s="179">
        <v>6.4192799999999994E-2</v>
      </c>
      <c r="J21" s="179">
        <v>6.7812499999999998E-2</v>
      </c>
      <c r="K21" s="173">
        <v>12431000</v>
      </c>
      <c r="L21" s="192">
        <v>2450000</v>
      </c>
      <c r="M21" s="193">
        <f t="shared" si="0"/>
        <v>5.0738775510204084</v>
      </c>
    </row>
    <row r="22" spans="1:13" s="71" customFormat="1" ht="12.75" customHeight="1" outlineLevel="1" x14ac:dyDescent="0.2">
      <c r="A22" s="169"/>
      <c r="B22" s="169"/>
      <c r="C22" s="169"/>
      <c r="D22" s="201" t="s">
        <v>148</v>
      </c>
      <c r="E22" s="171">
        <v>52336</v>
      </c>
      <c r="F22" s="183">
        <v>6.7500000000000004E-2</v>
      </c>
      <c r="G22" s="183">
        <v>7.6249999999999998E-2</v>
      </c>
      <c r="H22" s="183">
        <v>8.0312499999999995E-2</v>
      </c>
      <c r="I22" s="179">
        <v>7.7021999999999993E-2</v>
      </c>
      <c r="J22" s="179">
        <v>8.0312499999999995E-2</v>
      </c>
      <c r="K22" s="173">
        <v>3380000</v>
      </c>
      <c r="L22" s="192">
        <v>1500000</v>
      </c>
      <c r="M22" s="193">
        <f t="shared" si="0"/>
        <v>2.2533333333333334</v>
      </c>
    </row>
    <row r="23" spans="1:13" s="206" customFormat="1" ht="12.75" customHeight="1" outlineLevel="1" x14ac:dyDescent="0.2">
      <c r="A23" s="477" t="s">
        <v>121</v>
      </c>
      <c r="B23" s="478"/>
      <c r="C23" s="478"/>
      <c r="D23" s="478"/>
      <c r="E23" s="478"/>
      <c r="F23" s="478"/>
      <c r="G23" s="478"/>
      <c r="H23" s="478"/>
      <c r="I23" s="478"/>
      <c r="J23" s="479"/>
      <c r="K23" s="203">
        <f>SUM(K19:K22)</f>
        <v>59143000</v>
      </c>
      <c r="L23" s="203">
        <f>SUM(L19:L22)</f>
        <v>7000000</v>
      </c>
      <c r="M23" s="203"/>
    </row>
    <row r="24" spans="1:13" s="206" customFormat="1" ht="12.75" customHeight="1" outlineLevel="1" x14ac:dyDescent="0.2">
      <c r="A24" s="171">
        <v>43851</v>
      </c>
      <c r="B24" s="171">
        <v>43853</v>
      </c>
      <c r="C24" s="205" t="s">
        <v>145</v>
      </c>
      <c r="D24" s="202" t="s">
        <v>156</v>
      </c>
      <c r="E24" s="197">
        <v>43943</v>
      </c>
      <c r="F24" s="199" t="s">
        <v>128</v>
      </c>
      <c r="G24" s="196">
        <v>3.9E-2</v>
      </c>
      <c r="H24" s="196">
        <v>4.4900000000000002E-2</v>
      </c>
      <c r="I24" s="179">
        <v>3.9399999999999998E-2</v>
      </c>
      <c r="J24" s="179">
        <v>3.95E-2</v>
      </c>
      <c r="K24" s="185">
        <v>21990000</v>
      </c>
      <c r="L24" s="185">
        <v>1500000</v>
      </c>
      <c r="M24" s="193">
        <f t="shared" si="0"/>
        <v>14.66</v>
      </c>
    </row>
    <row r="25" spans="1:13" s="71" customFormat="1" ht="12.75" customHeight="1" outlineLevel="1" x14ac:dyDescent="0.2">
      <c r="A25" s="169"/>
      <c r="B25" s="169"/>
      <c r="C25" s="198"/>
      <c r="D25" s="202" t="s">
        <v>143</v>
      </c>
      <c r="E25" s="197">
        <v>44204</v>
      </c>
      <c r="F25" s="199" t="s">
        <v>128</v>
      </c>
      <c r="G25" s="196">
        <v>4.1500000000000002E-2</v>
      </c>
      <c r="H25" s="196">
        <v>4.5600000000000002E-2</v>
      </c>
      <c r="I25" s="179">
        <v>4.19333E-2</v>
      </c>
      <c r="J25" s="179">
        <v>4.2000000000000003E-2</v>
      </c>
      <c r="K25" s="173">
        <v>21490000</v>
      </c>
      <c r="L25" s="173">
        <v>1500000</v>
      </c>
      <c r="M25" s="193">
        <f t="shared" si="0"/>
        <v>14.326666666666666</v>
      </c>
    </row>
    <row r="26" spans="1:13" s="71" customFormat="1" ht="12.75" customHeight="1" outlineLevel="1" x14ac:dyDescent="0.2">
      <c r="A26" s="169"/>
      <c r="B26" s="169"/>
      <c r="C26" s="198"/>
      <c r="D26" s="202" t="s">
        <v>137</v>
      </c>
      <c r="E26" s="309">
        <v>45823</v>
      </c>
      <c r="F26" s="183">
        <v>6.5000000000000002E-2</v>
      </c>
      <c r="G26" s="196">
        <v>0.06</v>
      </c>
      <c r="H26" s="196">
        <v>6.1600000000000002E-2</v>
      </c>
      <c r="I26" s="179">
        <v>6.0385500000000002E-2</v>
      </c>
      <c r="J26" s="179">
        <v>6.0699999999999997E-2</v>
      </c>
      <c r="K26" s="185">
        <v>16649800</v>
      </c>
      <c r="L26" s="173">
        <v>5550000</v>
      </c>
      <c r="M26" s="193">
        <f t="shared" si="0"/>
        <v>2.9999639639639639</v>
      </c>
    </row>
    <row r="27" spans="1:13" s="71" customFormat="1" ht="12.75" customHeight="1" outlineLevel="1" x14ac:dyDescent="0.2">
      <c r="A27" s="169"/>
      <c r="B27" s="169"/>
      <c r="C27" s="198"/>
      <c r="D27" s="202" t="s">
        <v>138</v>
      </c>
      <c r="E27" s="309">
        <v>47741</v>
      </c>
      <c r="F27" s="183">
        <v>7.0000000000000007E-2</v>
      </c>
      <c r="G27" s="196">
        <v>6.7699999999999996E-2</v>
      </c>
      <c r="H27" s="196">
        <v>6.88E-2</v>
      </c>
      <c r="I27" s="179">
        <v>6.7849699999999999E-2</v>
      </c>
      <c r="J27" s="179">
        <v>6.7900000000000002E-2</v>
      </c>
      <c r="K27" s="173">
        <v>17223000</v>
      </c>
      <c r="L27" s="173">
        <v>4200000</v>
      </c>
      <c r="M27" s="193">
        <f t="shared" si="0"/>
        <v>4.100714285714286</v>
      </c>
    </row>
    <row r="28" spans="1:13" s="71" customFormat="1" ht="12.75" customHeight="1" outlineLevel="1" x14ac:dyDescent="0.2">
      <c r="A28" s="169"/>
      <c r="B28" s="169"/>
      <c r="C28" s="198"/>
      <c r="D28" s="202" t="s">
        <v>136</v>
      </c>
      <c r="E28" s="309">
        <v>49475</v>
      </c>
      <c r="F28" s="183">
        <v>7.4999999999999997E-2</v>
      </c>
      <c r="G28" s="196">
        <v>7.2499999999999995E-2</v>
      </c>
      <c r="H28" s="196">
        <v>7.4999999999999997E-2</v>
      </c>
      <c r="I28" s="179">
        <v>7.3062500000000002E-2</v>
      </c>
      <c r="J28" s="179">
        <v>7.3099999999999998E-2</v>
      </c>
      <c r="K28" s="185">
        <v>5407000</v>
      </c>
      <c r="L28" s="185">
        <v>2200000</v>
      </c>
      <c r="M28" s="193">
        <f t="shared" si="0"/>
        <v>2.4577272727272725</v>
      </c>
    </row>
    <row r="29" spans="1:13" s="71" customFormat="1" ht="12.75" customHeight="1" outlineLevel="1" x14ac:dyDescent="0.2">
      <c r="A29" s="169"/>
      <c r="B29" s="169"/>
      <c r="C29" s="198"/>
      <c r="D29" s="202" t="s">
        <v>144</v>
      </c>
      <c r="E29" s="309">
        <v>51241</v>
      </c>
      <c r="F29" s="183">
        <v>7.4999999999999997E-2</v>
      </c>
      <c r="G29" s="196">
        <v>7.3800000000000004E-2</v>
      </c>
      <c r="H29" s="196">
        <v>7.4800000000000005E-2</v>
      </c>
      <c r="I29" s="179">
        <v>7.3871400000000004E-2</v>
      </c>
      <c r="J29" s="179">
        <v>7.3999999999999996E-2</v>
      </c>
      <c r="K29" s="185">
        <v>6910300</v>
      </c>
      <c r="L29" s="185">
        <v>2250000</v>
      </c>
      <c r="M29" s="193">
        <f t="shared" si="0"/>
        <v>3.0712444444444444</v>
      </c>
    </row>
    <row r="30" spans="1:13" s="206" customFormat="1" ht="12.75" customHeight="1" outlineLevel="1" x14ac:dyDescent="0.2">
      <c r="A30" s="169"/>
      <c r="B30" s="169"/>
      <c r="C30" s="169"/>
      <c r="D30" s="201" t="s">
        <v>134</v>
      </c>
      <c r="E30" s="307">
        <v>54193</v>
      </c>
      <c r="F30" s="183">
        <v>7.3749999999999996E-2</v>
      </c>
      <c r="G30" s="183">
        <v>7.5499999999999998E-2</v>
      </c>
      <c r="H30" s="183">
        <v>7.85E-2</v>
      </c>
      <c r="I30" s="183">
        <v>7.5864500000000001E-2</v>
      </c>
      <c r="J30" s="183">
        <v>7.5999999999999998E-2</v>
      </c>
      <c r="K30" s="173">
        <v>5309600</v>
      </c>
      <c r="L30" s="173">
        <v>2800000</v>
      </c>
      <c r="M30" s="193">
        <f t="shared" si="0"/>
        <v>1.8962857142857144</v>
      </c>
    </row>
    <row r="31" spans="1:13" s="71" customFormat="1" ht="12.75" customHeight="1" outlineLevel="1" x14ac:dyDescent="0.2">
      <c r="A31" s="500" t="s">
        <v>121</v>
      </c>
      <c r="B31" s="501"/>
      <c r="C31" s="501"/>
      <c r="D31" s="501"/>
      <c r="E31" s="501"/>
      <c r="F31" s="501"/>
      <c r="G31" s="501"/>
      <c r="H31" s="501"/>
      <c r="I31" s="501"/>
      <c r="J31" s="479"/>
      <c r="K31" s="203">
        <f>SUM(K24:K30)</f>
        <v>94979700</v>
      </c>
      <c r="L31" s="203">
        <f>SUM(L24:L30)</f>
        <v>20000000</v>
      </c>
      <c r="M31" s="203"/>
    </row>
    <row r="32" spans="1:13" s="71" customFormat="1" ht="12.75" customHeight="1" outlineLevel="1" x14ac:dyDescent="0.2">
      <c r="A32" s="208">
        <v>43858</v>
      </c>
      <c r="B32" s="212">
        <v>43860</v>
      </c>
      <c r="C32" s="209" t="s">
        <v>145</v>
      </c>
      <c r="D32" s="214" t="s">
        <v>146</v>
      </c>
      <c r="E32" s="208">
        <v>44027</v>
      </c>
      <c r="F32" s="210" t="s">
        <v>128</v>
      </c>
      <c r="G32" s="210">
        <v>3.90625E-2</v>
      </c>
      <c r="H32" s="210">
        <v>4.3124999999999997E-2</v>
      </c>
      <c r="I32" s="194">
        <v>3.94375E-2</v>
      </c>
      <c r="J32" s="218">
        <v>3.9687500000000001E-2</v>
      </c>
      <c r="K32" s="219">
        <v>19075000</v>
      </c>
      <c r="L32" s="219">
        <v>1000000</v>
      </c>
      <c r="M32" s="193">
        <f t="shared" ref="M32:M36" si="1">IF(L32=0,0,K32/L32)</f>
        <v>19.074999999999999</v>
      </c>
    </row>
    <row r="33" spans="1:13" s="71" customFormat="1" ht="12.75" customHeight="1" outlineLevel="1" x14ac:dyDescent="0.2">
      <c r="A33" s="169"/>
      <c r="B33" s="198"/>
      <c r="C33" s="169"/>
      <c r="D33" s="201" t="s">
        <v>49</v>
      </c>
      <c r="E33" s="171">
        <v>44576</v>
      </c>
      <c r="F33" s="183">
        <v>5.45E-2</v>
      </c>
      <c r="G33" s="183">
        <v>5.6250000000000001E-2</v>
      </c>
      <c r="H33" s="183">
        <v>6.25E-2</v>
      </c>
      <c r="I33" s="179">
        <v>5.7080400000000003E-2</v>
      </c>
      <c r="J33" s="218">
        <v>5.7187500000000002E-2</v>
      </c>
      <c r="K33" s="195">
        <v>12236000</v>
      </c>
      <c r="L33" s="195">
        <v>1000000</v>
      </c>
      <c r="M33" s="193">
        <f t="shared" si="1"/>
        <v>12.236000000000001</v>
      </c>
    </row>
    <row r="34" spans="1:13" s="71" customFormat="1" ht="12.75" customHeight="1" outlineLevel="1" x14ac:dyDescent="0.2">
      <c r="A34" s="169"/>
      <c r="B34" s="198"/>
      <c r="C34" s="169"/>
      <c r="D34" s="201" t="s">
        <v>147</v>
      </c>
      <c r="E34" s="171">
        <v>45580</v>
      </c>
      <c r="F34" s="183">
        <v>6.6250000000000003E-2</v>
      </c>
      <c r="G34" s="183">
        <v>6.1874999999999999E-2</v>
      </c>
      <c r="H34" s="183">
        <v>6.6250000000000003E-2</v>
      </c>
      <c r="I34" s="179">
        <v>6.1874999999999999E-2</v>
      </c>
      <c r="J34" s="218">
        <v>6.1874999999999999E-2</v>
      </c>
      <c r="K34" s="173">
        <v>9227000</v>
      </c>
      <c r="L34" s="192">
        <v>2280000</v>
      </c>
      <c r="M34" s="193">
        <f t="shared" si="1"/>
        <v>4.0469298245614036</v>
      </c>
    </row>
    <row r="35" spans="1:13" s="71" customFormat="1" ht="12.75" customHeight="1" outlineLevel="1" x14ac:dyDescent="0.2">
      <c r="A35" s="169"/>
      <c r="B35" s="198"/>
      <c r="C35" s="169"/>
      <c r="D35" s="201" t="s">
        <v>148</v>
      </c>
      <c r="E35" s="171">
        <v>52336</v>
      </c>
      <c r="F35" s="183">
        <v>6.7500000000000004E-2</v>
      </c>
      <c r="G35" s="183">
        <v>7.6249999999999998E-2</v>
      </c>
      <c r="H35" s="183">
        <v>6.7500000000000004E-2</v>
      </c>
      <c r="I35" s="179">
        <v>7.6414200000000002E-2</v>
      </c>
      <c r="J35" s="218">
        <v>7.6562500000000006E-2</v>
      </c>
      <c r="K35" s="173">
        <v>1988600</v>
      </c>
      <c r="L35" s="192">
        <v>1370000</v>
      </c>
      <c r="M35" s="193">
        <f t="shared" si="1"/>
        <v>1.4515328467153286</v>
      </c>
    </row>
    <row r="36" spans="1:13" s="71" customFormat="1" ht="12.75" customHeight="1" outlineLevel="1" x14ac:dyDescent="0.2">
      <c r="A36" s="207"/>
      <c r="B36" s="213"/>
      <c r="C36" s="207"/>
      <c r="D36" s="215" t="s">
        <v>159</v>
      </c>
      <c r="E36" s="216">
        <v>53888</v>
      </c>
      <c r="F36" s="211">
        <v>0.08</v>
      </c>
      <c r="G36" s="211">
        <v>7.8437499999999993E-2</v>
      </c>
      <c r="H36" s="217">
        <v>0.08</v>
      </c>
      <c r="I36" s="211">
        <v>7.8437499999999993E-2</v>
      </c>
      <c r="J36" s="218">
        <v>7.8437499999999993E-2</v>
      </c>
      <c r="K36" s="173">
        <v>4388200</v>
      </c>
      <c r="L36" s="173">
        <v>2350000</v>
      </c>
      <c r="M36" s="193">
        <f t="shared" si="1"/>
        <v>1.8673191489361702</v>
      </c>
    </row>
    <row r="37" spans="1:13" s="71" customFormat="1" ht="12.75" customHeight="1" outlineLevel="1" x14ac:dyDescent="0.2">
      <c r="A37" s="500" t="s">
        <v>121</v>
      </c>
      <c r="B37" s="501"/>
      <c r="C37" s="501"/>
      <c r="D37" s="501"/>
      <c r="E37" s="501"/>
      <c r="F37" s="501"/>
      <c r="G37" s="501"/>
      <c r="H37" s="501"/>
      <c r="I37" s="501"/>
      <c r="J37" s="479"/>
      <c r="K37" s="203">
        <f>SUM(K30:K36)</f>
        <v>147204100</v>
      </c>
      <c r="L37" s="203">
        <f>SUM(L32:L36)</f>
        <v>8000000</v>
      </c>
      <c r="M37" s="203"/>
    </row>
    <row r="38" spans="1:13" s="180" customFormat="1" ht="12.75" customHeight="1" x14ac:dyDescent="0.2">
      <c r="A38" s="468" t="s">
        <v>139</v>
      </c>
      <c r="B38" s="469"/>
      <c r="C38" s="469"/>
      <c r="D38" s="469"/>
      <c r="E38" s="469"/>
      <c r="F38" s="469"/>
      <c r="G38" s="469"/>
      <c r="H38" s="469"/>
      <c r="I38" s="469"/>
      <c r="J38" s="470"/>
      <c r="K38" s="182">
        <f>SUM(K11,K18,K23,K31,K37)</f>
        <v>425384830</v>
      </c>
      <c r="L38" s="182">
        <f>SUM(L11,L18,L23,L31,L37)</f>
        <v>97515830</v>
      </c>
      <c r="M38" s="181"/>
    </row>
    <row r="39" spans="1:13" s="180" customFormat="1" ht="12.75" customHeight="1" x14ac:dyDescent="0.2">
      <c r="A39" s="468" t="s">
        <v>161</v>
      </c>
      <c r="B39" s="469"/>
      <c r="C39" s="469"/>
      <c r="D39" s="469"/>
      <c r="E39" s="469"/>
      <c r="F39" s="469"/>
      <c r="G39" s="469"/>
      <c r="H39" s="469"/>
      <c r="I39" s="469"/>
      <c r="J39" s="470"/>
      <c r="K39" s="182">
        <f>SUM(K38)</f>
        <v>425384830</v>
      </c>
      <c r="L39" s="182">
        <f>SUM(L38)</f>
        <v>97515830</v>
      </c>
      <c r="M39" s="181"/>
    </row>
    <row r="40" spans="1:13" s="206" customFormat="1" ht="12.75" customHeight="1" outlineLevel="1" x14ac:dyDescent="0.2">
      <c r="A40" s="171">
        <v>43865</v>
      </c>
      <c r="B40" s="171">
        <v>43867</v>
      </c>
      <c r="C40" s="205" t="s">
        <v>145</v>
      </c>
      <c r="D40" s="202" t="s">
        <v>157</v>
      </c>
      <c r="E40" s="197">
        <v>43959</v>
      </c>
      <c r="F40" s="199" t="s">
        <v>128</v>
      </c>
      <c r="G40" s="196">
        <v>3.49E-2</v>
      </c>
      <c r="H40" s="196">
        <v>4.2500000000000003E-2</v>
      </c>
      <c r="I40" s="179">
        <v>3.49E-2</v>
      </c>
      <c r="J40" s="179">
        <v>3.49E-2</v>
      </c>
      <c r="K40" s="185">
        <v>16160000</v>
      </c>
      <c r="L40" s="185">
        <v>1500000</v>
      </c>
      <c r="M40" s="193">
        <f t="shared" ref="M40:M46" si="2">IF(L40=0,0,K40/L40)</f>
        <v>10.773333333333333</v>
      </c>
    </row>
    <row r="41" spans="1:13" s="71" customFormat="1" ht="12.75" customHeight="1" outlineLevel="1" x14ac:dyDescent="0.2">
      <c r="A41" s="169"/>
      <c r="B41" s="169"/>
      <c r="C41" s="198"/>
      <c r="D41" s="202" t="s">
        <v>158</v>
      </c>
      <c r="E41" s="197">
        <v>44232</v>
      </c>
      <c r="F41" s="199" t="s">
        <v>128</v>
      </c>
      <c r="G41" s="196">
        <v>3.7900000000000003E-2</v>
      </c>
      <c r="H41" s="196">
        <v>4.1000000000000002E-2</v>
      </c>
      <c r="I41" s="179">
        <v>3.7960000000000001E-2</v>
      </c>
      <c r="J41" s="179">
        <v>3.7999999999999999E-2</v>
      </c>
      <c r="K41" s="173">
        <v>18800000</v>
      </c>
      <c r="L41" s="173">
        <v>1500000</v>
      </c>
      <c r="M41" s="193">
        <f t="shared" si="2"/>
        <v>12.533333333333333</v>
      </c>
    </row>
    <row r="42" spans="1:13" s="71" customFormat="1" ht="12.75" customHeight="1" outlineLevel="1" x14ac:dyDescent="0.2">
      <c r="A42" s="169"/>
      <c r="B42" s="169"/>
      <c r="C42" s="198"/>
      <c r="D42" s="202" t="s">
        <v>137</v>
      </c>
      <c r="E42" s="197">
        <v>45823</v>
      </c>
      <c r="F42" s="183">
        <v>6.5000000000000002E-2</v>
      </c>
      <c r="G42" s="196">
        <v>5.96E-2</v>
      </c>
      <c r="H42" s="196">
        <v>6.5000000000000002E-2</v>
      </c>
      <c r="I42" s="179">
        <v>5.97653E-2</v>
      </c>
      <c r="J42" s="179">
        <v>5.9900000000000002E-2</v>
      </c>
      <c r="K42" s="185">
        <v>19996000</v>
      </c>
      <c r="L42" s="173">
        <v>4750000</v>
      </c>
      <c r="M42" s="193">
        <f t="shared" si="2"/>
        <v>4.2096842105263157</v>
      </c>
    </row>
    <row r="43" spans="1:13" s="71" customFormat="1" ht="12.75" customHeight="1" outlineLevel="1" x14ac:dyDescent="0.2">
      <c r="A43" s="169"/>
      <c r="B43" s="169"/>
      <c r="C43" s="198"/>
      <c r="D43" s="202" t="s">
        <v>138</v>
      </c>
      <c r="E43" s="197">
        <v>11216</v>
      </c>
      <c r="F43" s="183">
        <v>7.0000000000000007E-2</v>
      </c>
      <c r="G43" s="196">
        <v>6.6000000000000003E-2</v>
      </c>
      <c r="H43" s="196">
        <v>7.0999999999999994E-2</v>
      </c>
      <c r="I43" s="179">
        <v>6.6423200000000002E-2</v>
      </c>
      <c r="J43" s="179">
        <v>6.6500000000000004E-2</v>
      </c>
      <c r="K43" s="173">
        <v>24167000</v>
      </c>
      <c r="L43" s="173">
        <v>6500000</v>
      </c>
      <c r="M43" s="193">
        <f t="shared" si="2"/>
        <v>3.718</v>
      </c>
    </row>
    <row r="44" spans="1:13" s="71" customFormat="1" ht="12.75" customHeight="1" outlineLevel="1" x14ac:dyDescent="0.2">
      <c r="A44" s="169"/>
      <c r="B44" s="169"/>
      <c r="C44" s="198"/>
      <c r="D44" s="202" t="s">
        <v>136</v>
      </c>
      <c r="E44" s="197">
        <v>12950</v>
      </c>
      <c r="F44" s="183">
        <v>7.4999999999999997E-2</v>
      </c>
      <c r="G44" s="196">
        <v>7.1300000000000002E-2</v>
      </c>
      <c r="H44" s="196">
        <v>7.2300000000000003E-2</v>
      </c>
      <c r="I44" s="179">
        <v>7.1698499999999998E-2</v>
      </c>
      <c r="J44" s="179">
        <v>7.1800000000000003E-2</v>
      </c>
      <c r="K44" s="185">
        <v>9931100</v>
      </c>
      <c r="L44" s="185">
        <v>3100000</v>
      </c>
      <c r="M44" s="193">
        <f t="shared" si="2"/>
        <v>3.2035806451612903</v>
      </c>
    </row>
    <row r="45" spans="1:13" s="71" customFormat="1" ht="12.75" customHeight="1" outlineLevel="1" x14ac:dyDescent="0.2">
      <c r="A45" s="169"/>
      <c r="B45" s="169"/>
      <c r="C45" s="198"/>
      <c r="D45" s="202" t="s">
        <v>144</v>
      </c>
      <c r="E45" s="197">
        <v>14716</v>
      </c>
      <c r="F45" s="183">
        <v>7.4999999999999997E-2</v>
      </c>
      <c r="G45" s="196">
        <v>7.3400000000000007E-2</v>
      </c>
      <c r="H45" s="196">
        <v>7.4200000000000002E-2</v>
      </c>
      <c r="I45" s="179">
        <v>7.3499900000000007E-2</v>
      </c>
      <c r="J45" s="179">
        <v>7.3599999999999999E-2</v>
      </c>
      <c r="K45" s="185">
        <v>3912100</v>
      </c>
      <c r="L45" s="185">
        <v>1900000</v>
      </c>
      <c r="M45" s="193">
        <f t="shared" si="2"/>
        <v>2.0590000000000002</v>
      </c>
    </row>
    <row r="46" spans="1:13" s="206" customFormat="1" ht="12.75" customHeight="1" outlineLevel="1" x14ac:dyDescent="0.2">
      <c r="A46" s="169"/>
      <c r="B46" s="169"/>
      <c r="C46" s="169"/>
      <c r="D46" s="201" t="s">
        <v>134</v>
      </c>
      <c r="E46" s="171">
        <v>17668</v>
      </c>
      <c r="F46" s="183">
        <v>7.3749999999999996E-2</v>
      </c>
      <c r="G46" s="183">
        <v>7.5399999999999995E-2</v>
      </c>
      <c r="H46" s="183">
        <v>7.85E-2</v>
      </c>
      <c r="I46" s="183">
        <v>7.5636300000000004E-2</v>
      </c>
      <c r="J46" s="183">
        <v>7.5800000000000006E-2</v>
      </c>
      <c r="K46" s="173">
        <v>3935200</v>
      </c>
      <c r="L46" s="173">
        <v>1750000</v>
      </c>
      <c r="M46" s="193">
        <f t="shared" si="2"/>
        <v>2.2486857142857142</v>
      </c>
    </row>
    <row r="47" spans="1:13" s="71" customFormat="1" ht="12.75" customHeight="1" outlineLevel="1" x14ac:dyDescent="0.2">
      <c r="A47" s="477" t="s">
        <v>121</v>
      </c>
      <c r="B47" s="478"/>
      <c r="C47" s="478"/>
      <c r="D47" s="478"/>
      <c r="E47" s="478"/>
      <c r="F47" s="478"/>
      <c r="G47" s="478"/>
      <c r="H47" s="478"/>
      <c r="I47" s="478"/>
      <c r="J47" s="479"/>
      <c r="K47" s="220">
        <f>SUM(K40:K46)</f>
        <v>96901400</v>
      </c>
      <c r="L47" s="220">
        <f>SUM(L40:L46)</f>
        <v>21000000</v>
      </c>
      <c r="M47" s="203"/>
    </row>
    <row r="48" spans="1:13" s="71" customFormat="1" ht="12.75" customHeight="1" outlineLevel="1" x14ac:dyDescent="0.2">
      <c r="A48" s="171">
        <v>43872</v>
      </c>
      <c r="B48" s="171">
        <v>43874</v>
      </c>
      <c r="C48" s="174" t="s">
        <v>145</v>
      </c>
      <c r="D48" s="201" t="s">
        <v>162</v>
      </c>
      <c r="E48" s="171">
        <v>44055</v>
      </c>
      <c r="F48" s="183" t="s">
        <v>128</v>
      </c>
      <c r="G48" s="183">
        <v>3.4687500000000003E-2</v>
      </c>
      <c r="H48" s="183">
        <v>3.90625E-2</v>
      </c>
      <c r="I48" s="179">
        <v>3.4875000000000003E-2</v>
      </c>
      <c r="J48" s="179">
        <v>3.4875000000000003E-2</v>
      </c>
      <c r="K48" s="195">
        <v>22010000</v>
      </c>
      <c r="L48" s="195">
        <v>1500000</v>
      </c>
      <c r="M48" s="193">
        <f t="shared" ref="M48:M51" si="3">IF(L48=0,0,K48/L48)</f>
        <v>14.673333333333334</v>
      </c>
    </row>
    <row r="49" spans="1:13" s="71" customFormat="1" ht="12.75" customHeight="1" outlineLevel="1" x14ac:dyDescent="0.2">
      <c r="A49" s="169"/>
      <c r="B49" s="169"/>
      <c r="C49" s="169"/>
      <c r="D49" s="201" t="s">
        <v>49</v>
      </c>
      <c r="E49" s="171">
        <v>44576</v>
      </c>
      <c r="F49" s="183">
        <v>5.45E-2</v>
      </c>
      <c r="G49" s="183">
        <v>5.46875E-2</v>
      </c>
      <c r="H49" s="183">
        <v>5.8125000000000003E-2</v>
      </c>
      <c r="I49" s="179">
        <v>5.5148999999999997E-2</v>
      </c>
      <c r="J49" s="179">
        <v>5.5312500000000001E-2</v>
      </c>
      <c r="K49" s="195">
        <v>28707000</v>
      </c>
      <c r="L49" s="195">
        <v>2730000</v>
      </c>
      <c r="M49" s="193">
        <f t="shared" si="3"/>
        <v>10.515384615384615</v>
      </c>
    </row>
    <row r="50" spans="1:13" s="71" customFormat="1" ht="12.75" customHeight="1" outlineLevel="1" x14ac:dyDescent="0.2">
      <c r="A50" s="169"/>
      <c r="B50" s="169"/>
      <c r="C50" s="169"/>
      <c r="D50" s="201" t="s">
        <v>147</v>
      </c>
      <c r="E50" s="171">
        <v>45580</v>
      </c>
      <c r="F50" s="183">
        <v>6.6250000000000003E-2</v>
      </c>
      <c r="G50" s="183">
        <v>0.06</v>
      </c>
      <c r="H50" s="183">
        <v>6.5000000000000002E-2</v>
      </c>
      <c r="I50" s="179">
        <v>6.0226599999999998E-2</v>
      </c>
      <c r="J50" s="179">
        <v>6.0312499999999998E-2</v>
      </c>
      <c r="K50" s="173">
        <v>15111000</v>
      </c>
      <c r="L50" s="192">
        <v>2600000</v>
      </c>
      <c r="M50" s="193">
        <f t="shared" si="3"/>
        <v>5.811923076923077</v>
      </c>
    </row>
    <row r="51" spans="1:13" s="71" customFormat="1" ht="12.75" customHeight="1" outlineLevel="1" x14ac:dyDescent="0.2">
      <c r="A51" s="169"/>
      <c r="B51" s="169"/>
      <c r="C51" s="169"/>
      <c r="D51" s="201" t="s">
        <v>148</v>
      </c>
      <c r="E51" s="171">
        <v>52336</v>
      </c>
      <c r="F51" s="183">
        <v>6.7500000000000004E-2</v>
      </c>
      <c r="G51" s="183">
        <v>7.5312500000000004E-2</v>
      </c>
      <c r="H51" s="183">
        <v>7.8125E-2</v>
      </c>
      <c r="I51" s="179">
        <v>7.5734200000000002E-2</v>
      </c>
      <c r="J51" s="179">
        <v>7.6249999999999998E-2</v>
      </c>
      <c r="K51" s="173">
        <v>3746800</v>
      </c>
      <c r="L51" s="192">
        <v>1170000</v>
      </c>
      <c r="M51" s="193">
        <f t="shared" si="3"/>
        <v>3.2023931623931623</v>
      </c>
    </row>
    <row r="52" spans="1:13" s="71" customFormat="1" ht="12.75" customHeight="1" outlineLevel="1" x14ac:dyDescent="0.2">
      <c r="A52" s="477" t="s">
        <v>17</v>
      </c>
      <c r="B52" s="478"/>
      <c r="C52" s="478"/>
      <c r="D52" s="478"/>
      <c r="E52" s="478"/>
      <c r="F52" s="478"/>
      <c r="G52" s="478"/>
      <c r="H52" s="478"/>
      <c r="I52" s="478"/>
      <c r="J52" s="479"/>
      <c r="K52" s="220">
        <f>SUM(K48:K51)</f>
        <v>69574800</v>
      </c>
      <c r="L52" s="220">
        <f>SUM(L48:L51)</f>
        <v>8000000</v>
      </c>
      <c r="M52" s="203"/>
    </row>
    <row r="53" spans="1:13" s="71" customFormat="1" ht="12.75" customHeight="1" outlineLevel="1" x14ac:dyDescent="0.2">
      <c r="A53" s="178">
        <v>43853</v>
      </c>
      <c r="B53" s="171">
        <v>43880</v>
      </c>
      <c r="C53" s="221" t="s">
        <v>149</v>
      </c>
      <c r="D53" s="222" t="s">
        <v>165</v>
      </c>
      <c r="E53" s="171">
        <v>44602</v>
      </c>
      <c r="F53" s="183">
        <v>6.3E-2</v>
      </c>
      <c r="G53" s="183"/>
      <c r="H53" s="183"/>
      <c r="I53" s="179"/>
      <c r="J53" s="179"/>
      <c r="K53" s="189">
        <v>2255246</v>
      </c>
      <c r="L53" s="189">
        <v>2255246</v>
      </c>
      <c r="M53" s="184">
        <f>IF(L53=0,0,K53/L53)</f>
        <v>1</v>
      </c>
    </row>
    <row r="54" spans="1:13" s="71" customFormat="1" ht="12.75" customHeight="1" outlineLevel="1" x14ac:dyDescent="0.2">
      <c r="A54" s="477" t="s">
        <v>121</v>
      </c>
      <c r="B54" s="478"/>
      <c r="C54" s="478"/>
      <c r="D54" s="478"/>
      <c r="E54" s="478"/>
      <c r="F54" s="478"/>
      <c r="G54" s="478"/>
      <c r="H54" s="478"/>
      <c r="I54" s="478"/>
      <c r="J54" s="479"/>
      <c r="K54" s="220">
        <f>K53</f>
        <v>2255246</v>
      </c>
      <c r="L54" s="220">
        <f>L53</f>
        <v>2255246</v>
      </c>
      <c r="M54" s="204"/>
    </row>
    <row r="55" spans="1:13" s="206" customFormat="1" ht="12.75" customHeight="1" outlineLevel="1" x14ac:dyDescent="0.2">
      <c r="A55" s="171">
        <v>43879</v>
      </c>
      <c r="B55" s="171">
        <v>43881</v>
      </c>
      <c r="C55" s="205" t="s">
        <v>145</v>
      </c>
      <c r="D55" s="202" t="s">
        <v>160</v>
      </c>
      <c r="E55" s="197">
        <v>43970</v>
      </c>
      <c r="F55" s="199" t="s">
        <v>128</v>
      </c>
      <c r="G55" s="196">
        <v>2.4899999999999999E-2</v>
      </c>
      <c r="H55" s="196">
        <v>0.04</v>
      </c>
      <c r="I55" s="179">
        <v>2.8931999999999999E-2</v>
      </c>
      <c r="J55" s="179">
        <v>3.2899999999999999E-2</v>
      </c>
      <c r="K55" s="185">
        <v>15740000</v>
      </c>
      <c r="L55" s="185">
        <v>1500000</v>
      </c>
      <c r="M55" s="193">
        <f t="shared" ref="M55:M61" si="4">IF(L55=0,0,K55/L55)</f>
        <v>10.493333333333334</v>
      </c>
    </row>
    <row r="56" spans="1:13" s="71" customFormat="1" ht="12.75" customHeight="1" outlineLevel="1" x14ac:dyDescent="0.2">
      <c r="A56" s="169"/>
      <c r="B56" s="169"/>
      <c r="C56" s="198"/>
      <c r="D56" s="202" t="s">
        <v>158</v>
      </c>
      <c r="E56" s="197">
        <v>44232</v>
      </c>
      <c r="F56" s="199" t="s">
        <v>128</v>
      </c>
      <c r="G56" s="196">
        <v>3.4000000000000002E-2</v>
      </c>
      <c r="H56" s="196">
        <v>3.7499999999999999E-2</v>
      </c>
      <c r="I56" s="179">
        <v>3.5213300000000003E-2</v>
      </c>
      <c r="J56" s="179">
        <v>3.6200000000000003E-2</v>
      </c>
      <c r="K56" s="173">
        <v>17700000</v>
      </c>
      <c r="L56" s="173">
        <v>1500000</v>
      </c>
      <c r="M56" s="193">
        <f t="shared" si="4"/>
        <v>11.8</v>
      </c>
    </row>
    <row r="57" spans="1:13" s="71" customFormat="1" ht="12.75" customHeight="1" outlineLevel="1" x14ac:dyDescent="0.2">
      <c r="A57" s="169"/>
      <c r="B57" s="169"/>
      <c r="C57" s="198"/>
      <c r="D57" s="202" t="s">
        <v>137</v>
      </c>
      <c r="E57" s="309">
        <v>45823</v>
      </c>
      <c r="F57" s="183">
        <v>6.5000000000000002E-2</v>
      </c>
      <c r="G57" s="196">
        <v>5.6500000000000002E-2</v>
      </c>
      <c r="H57" s="196">
        <v>6.7599999999999993E-2</v>
      </c>
      <c r="I57" s="179">
        <v>5.6922199999999999E-2</v>
      </c>
      <c r="J57" s="179">
        <v>5.7099999999999998E-2</v>
      </c>
      <c r="K57" s="185">
        <v>37244000</v>
      </c>
      <c r="L57" s="173">
        <v>3600000</v>
      </c>
      <c r="M57" s="193">
        <f t="shared" si="4"/>
        <v>10.345555555555556</v>
      </c>
    </row>
    <row r="58" spans="1:13" s="71" customFormat="1" ht="12.75" customHeight="1" outlineLevel="1" x14ac:dyDescent="0.2">
      <c r="A58" s="169"/>
      <c r="B58" s="169"/>
      <c r="C58" s="198"/>
      <c r="D58" s="202" t="s">
        <v>138</v>
      </c>
      <c r="E58" s="309">
        <v>47741</v>
      </c>
      <c r="F58" s="183">
        <v>7.0000000000000007E-2</v>
      </c>
      <c r="G58" s="196">
        <v>6.4799999999999996E-2</v>
      </c>
      <c r="H58" s="196">
        <v>6.6299999999999998E-2</v>
      </c>
      <c r="I58" s="179">
        <v>6.5162200000000003E-2</v>
      </c>
      <c r="J58" s="179">
        <v>6.5199999999999994E-2</v>
      </c>
      <c r="K58" s="173">
        <v>25261000</v>
      </c>
      <c r="L58" s="173">
        <v>3850000</v>
      </c>
      <c r="M58" s="193">
        <f t="shared" si="4"/>
        <v>6.5612987012987016</v>
      </c>
    </row>
    <row r="59" spans="1:13" s="71" customFormat="1" ht="12.75" customHeight="1" outlineLevel="1" x14ac:dyDescent="0.2">
      <c r="A59" s="169"/>
      <c r="B59" s="169"/>
      <c r="C59" s="198"/>
      <c r="D59" s="202" t="s">
        <v>136</v>
      </c>
      <c r="E59" s="309">
        <v>49475</v>
      </c>
      <c r="F59" s="183">
        <v>7.4999999999999997E-2</v>
      </c>
      <c r="G59" s="196">
        <v>6.9900000000000004E-2</v>
      </c>
      <c r="H59" s="196">
        <v>7.0999999999999994E-2</v>
      </c>
      <c r="I59" s="179">
        <v>7.00992E-2</v>
      </c>
      <c r="J59" s="179">
        <v>7.0199999999999999E-2</v>
      </c>
      <c r="K59" s="185">
        <v>16795700</v>
      </c>
      <c r="L59" s="173">
        <v>3850000</v>
      </c>
      <c r="M59" s="193">
        <f t="shared" si="4"/>
        <v>4.3625194805194809</v>
      </c>
    </row>
    <row r="60" spans="1:13" s="71" customFormat="1" ht="12.75" customHeight="1" outlineLevel="1" x14ac:dyDescent="0.2">
      <c r="A60" s="169"/>
      <c r="B60" s="169"/>
      <c r="C60" s="198"/>
      <c r="D60" s="202" t="s">
        <v>144</v>
      </c>
      <c r="E60" s="309">
        <v>51241</v>
      </c>
      <c r="F60" s="183">
        <v>7.4999999999999997E-2</v>
      </c>
      <c r="G60" s="196">
        <v>7.2400000000000006E-2</v>
      </c>
      <c r="H60" s="196">
        <v>7.3300000000000004E-2</v>
      </c>
      <c r="I60" s="179">
        <v>7.2653300000000004E-2</v>
      </c>
      <c r="J60" s="179">
        <v>7.2700000000000001E-2</v>
      </c>
      <c r="K60" s="185">
        <v>9176000</v>
      </c>
      <c r="L60" s="185">
        <v>1500000</v>
      </c>
      <c r="M60" s="193">
        <f t="shared" si="4"/>
        <v>6.1173333333333337</v>
      </c>
    </row>
    <row r="61" spans="1:13" s="206" customFormat="1" ht="12.75" customHeight="1" outlineLevel="1" x14ac:dyDescent="0.2">
      <c r="A61" s="169"/>
      <c r="B61" s="169"/>
      <c r="C61" s="169"/>
      <c r="D61" s="201" t="s">
        <v>134</v>
      </c>
      <c r="E61" s="307">
        <v>54193</v>
      </c>
      <c r="F61" s="183">
        <v>7.3749999999999996E-2</v>
      </c>
      <c r="G61" s="183">
        <v>7.4300000000000005E-2</v>
      </c>
      <c r="H61" s="183">
        <v>7.5999999999999998E-2</v>
      </c>
      <c r="I61" s="183">
        <v>7.4642200000000006E-2</v>
      </c>
      <c r="J61" s="183">
        <v>7.4800000000000005E-2</v>
      </c>
      <c r="K61" s="173">
        <v>5203000</v>
      </c>
      <c r="L61" s="173">
        <v>2700000</v>
      </c>
      <c r="M61" s="193">
        <f t="shared" si="4"/>
        <v>1.9270370370370371</v>
      </c>
    </row>
    <row r="62" spans="1:13" s="71" customFormat="1" ht="12.75" customHeight="1" outlineLevel="1" x14ac:dyDescent="0.2">
      <c r="A62" s="477" t="s">
        <v>121</v>
      </c>
      <c r="B62" s="478"/>
      <c r="C62" s="478"/>
      <c r="D62" s="478"/>
      <c r="E62" s="478"/>
      <c r="F62" s="478"/>
      <c r="G62" s="478"/>
      <c r="H62" s="478"/>
      <c r="I62" s="478"/>
      <c r="J62" s="479"/>
      <c r="K62" s="220">
        <f>SUM(K55:K61)</f>
        <v>127119700</v>
      </c>
      <c r="L62" s="220">
        <f>SUM(L55:L61)</f>
        <v>18500000</v>
      </c>
      <c r="M62" s="203"/>
    </row>
    <row r="63" spans="1:13" s="71" customFormat="1" ht="12.75" customHeight="1" outlineLevel="1" x14ac:dyDescent="0.2">
      <c r="A63" s="171">
        <v>43886</v>
      </c>
      <c r="B63" s="171">
        <v>43888</v>
      </c>
      <c r="C63" s="174" t="s">
        <v>145</v>
      </c>
      <c r="D63" s="201" t="s">
        <v>162</v>
      </c>
      <c r="E63" s="171">
        <v>44055</v>
      </c>
      <c r="F63" s="183" t="s">
        <v>128</v>
      </c>
      <c r="G63" s="183">
        <v>0.03</v>
      </c>
      <c r="H63" s="183">
        <v>3.3125000000000002E-2</v>
      </c>
      <c r="I63" s="179">
        <v>3.02125E-2</v>
      </c>
      <c r="J63" s="179">
        <v>3.0624999999999999E-2</v>
      </c>
      <c r="K63" s="195">
        <v>10830000</v>
      </c>
      <c r="L63" s="195">
        <v>1000000</v>
      </c>
      <c r="M63" s="193">
        <f t="shared" ref="M63:M66" si="5">IF(L63=0,0,K63/L63)</f>
        <v>10.83</v>
      </c>
    </row>
    <row r="64" spans="1:13" s="71" customFormat="1" ht="12.75" customHeight="1" outlineLevel="1" x14ac:dyDescent="0.2">
      <c r="A64" s="169"/>
      <c r="B64" s="169"/>
      <c r="C64" s="169"/>
      <c r="D64" s="201" t="s">
        <v>49</v>
      </c>
      <c r="E64" s="171">
        <v>44576</v>
      </c>
      <c r="F64" s="183">
        <v>5.45E-2</v>
      </c>
      <c r="G64" s="183">
        <v>0.05</v>
      </c>
      <c r="H64" s="183">
        <v>5.5E-2</v>
      </c>
      <c r="I64" s="179">
        <v>5.0367299999999997E-2</v>
      </c>
      <c r="J64" s="179">
        <v>5.0625000000000003E-2</v>
      </c>
      <c r="K64" s="195">
        <v>17975000</v>
      </c>
      <c r="L64" s="195">
        <v>2200000</v>
      </c>
      <c r="M64" s="193">
        <f t="shared" si="5"/>
        <v>8.170454545454545</v>
      </c>
    </row>
    <row r="65" spans="1:13" s="71" customFormat="1" ht="12.75" customHeight="1" outlineLevel="1" x14ac:dyDescent="0.2">
      <c r="A65" s="169"/>
      <c r="B65" s="169"/>
      <c r="C65" s="169"/>
      <c r="D65" s="201" t="s">
        <v>147</v>
      </c>
      <c r="E65" s="171">
        <v>45580</v>
      </c>
      <c r="F65" s="183">
        <v>6.6250000000000003E-2</v>
      </c>
      <c r="G65" s="183">
        <v>5.6875000000000002E-2</v>
      </c>
      <c r="H65" s="183">
        <v>6.0312499999999998E-2</v>
      </c>
      <c r="I65" s="179">
        <v>5.7335400000000002E-2</v>
      </c>
      <c r="J65" s="179">
        <v>5.7500000000000002E-2</v>
      </c>
      <c r="K65" s="173">
        <v>21139000</v>
      </c>
      <c r="L65" s="192">
        <v>1500000</v>
      </c>
      <c r="M65" s="193">
        <f t="shared" si="5"/>
        <v>14.092666666666666</v>
      </c>
    </row>
    <row r="66" spans="1:13" s="71" customFormat="1" ht="12.75" customHeight="1" outlineLevel="1" x14ac:dyDescent="0.2">
      <c r="A66" s="169"/>
      <c r="B66" s="169"/>
      <c r="C66" s="169"/>
      <c r="D66" s="201" t="s">
        <v>148</v>
      </c>
      <c r="E66" s="171">
        <v>52336</v>
      </c>
      <c r="F66" s="183">
        <v>6.7500000000000004E-2</v>
      </c>
      <c r="G66" s="183">
        <v>7.4999999999999997E-2</v>
      </c>
      <c r="H66" s="183">
        <v>7.7187500000000006E-2</v>
      </c>
      <c r="I66" s="179">
        <v>7.4999999999999997E-2</v>
      </c>
      <c r="J66" s="179">
        <v>7.4999999999999997E-2</v>
      </c>
      <c r="K66" s="173">
        <v>10600700</v>
      </c>
      <c r="L66" s="192">
        <v>2300000</v>
      </c>
      <c r="M66" s="193">
        <f t="shared" si="5"/>
        <v>4.609</v>
      </c>
    </row>
    <row r="67" spans="1:13" s="71" customFormat="1" ht="12.75" customHeight="1" outlineLevel="1" x14ac:dyDescent="0.2">
      <c r="A67" s="477" t="s">
        <v>121</v>
      </c>
      <c r="B67" s="478"/>
      <c r="C67" s="478"/>
      <c r="D67" s="478"/>
      <c r="E67" s="478"/>
      <c r="F67" s="478"/>
      <c r="G67" s="478"/>
      <c r="H67" s="478"/>
      <c r="I67" s="478"/>
      <c r="J67" s="479"/>
      <c r="K67" s="220">
        <f>SUM(K63:K66)</f>
        <v>60544700</v>
      </c>
      <c r="L67" s="220">
        <f>SUM(L63:L66)</f>
        <v>7000000</v>
      </c>
      <c r="M67" s="203"/>
    </row>
    <row r="68" spans="1:13" s="180" customFormat="1" ht="12.75" customHeight="1" x14ac:dyDescent="0.2">
      <c r="A68" s="468" t="s">
        <v>166</v>
      </c>
      <c r="B68" s="469"/>
      <c r="C68" s="469"/>
      <c r="D68" s="469"/>
      <c r="E68" s="469"/>
      <c r="F68" s="469"/>
      <c r="G68" s="469"/>
      <c r="H68" s="469"/>
      <c r="I68" s="469"/>
      <c r="J68" s="470"/>
      <c r="K68" s="182">
        <f>SUM(K47,K52,K54,K62,K67)</f>
        <v>356395846</v>
      </c>
      <c r="L68" s="182">
        <f>SUM(L47,L52,L54,L62,L67)</f>
        <v>56755246</v>
      </c>
      <c r="M68" s="181"/>
    </row>
    <row r="69" spans="1:13" ht="12.75" customHeight="1" x14ac:dyDescent="0.2">
      <c r="A69" s="468" t="s">
        <v>167</v>
      </c>
      <c r="B69" s="469"/>
      <c r="C69" s="469"/>
      <c r="D69" s="469"/>
      <c r="E69" s="469"/>
      <c r="F69" s="469"/>
      <c r="G69" s="469"/>
      <c r="H69" s="469"/>
      <c r="I69" s="469"/>
      <c r="J69" s="470"/>
      <c r="K69" s="182">
        <f>SUM(K39,K68)</f>
        <v>781780676</v>
      </c>
      <c r="L69" s="182">
        <f>SUM(L39,L68)</f>
        <v>154271076</v>
      </c>
      <c r="M69" s="181"/>
    </row>
    <row r="70" spans="1:13" s="206" customFormat="1" ht="12.75" customHeight="1" outlineLevel="1" x14ac:dyDescent="0.2">
      <c r="A70" s="171">
        <v>43893</v>
      </c>
      <c r="B70" s="171">
        <v>43895</v>
      </c>
      <c r="C70" s="205" t="s">
        <v>145</v>
      </c>
      <c r="D70" s="202" t="s">
        <v>163</v>
      </c>
      <c r="E70" s="197">
        <v>43986</v>
      </c>
      <c r="F70" s="199" t="s">
        <v>128</v>
      </c>
      <c r="G70" s="196">
        <v>2.8500000000000001E-2</v>
      </c>
      <c r="H70" s="196">
        <v>3.4000000000000002E-2</v>
      </c>
      <c r="I70" s="179">
        <v>2.9010000000000001E-2</v>
      </c>
      <c r="J70" s="179">
        <v>2.9499999999999998E-2</v>
      </c>
      <c r="K70" s="185">
        <v>10815000</v>
      </c>
      <c r="L70" s="185">
        <v>1500000</v>
      </c>
      <c r="M70" s="193">
        <f t="shared" ref="M70:M76" si="6">IF(L70=0,0,K70/L70)</f>
        <v>7.21</v>
      </c>
    </row>
    <row r="71" spans="1:13" s="71" customFormat="1" ht="12.75" customHeight="1" outlineLevel="1" x14ac:dyDescent="0.2">
      <c r="A71" s="169"/>
      <c r="B71" s="169"/>
      <c r="C71" s="198"/>
      <c r="D71" s="202" t="s">
        <v>164</v>
      </c>
      <c r="E71" s="197">
        <v>44259</v>
      </c>
      <c r="F71" s="199" t="s">
        <v>128</v>
      </c>
      <c r="G71" s="196">
        <v>3.2000000000000001E-2</v>
      </c>
      <c r="H71" s="196">
        <v>0.04</v>
      </c>
      <c r="I71" s="179">
        <v>3.2539999999999999E-2</v>
      </c>
      <c r="J71" s="179">
        <v>3.3000000000000002E-2</v>
      </c>
      <c r="K71" s="173">
        <v>17650000</v>
      </c>
      <c r="L71" s="173">
        <v>1500000</v>
      </c>
      <c r="M71" s="193">
        <f t="shared" si="6"/>
        <v>11.766666666666667</v>
      </c>
    </row>
    <row r="72" spans="1:13" s="71" customFormat="1" ht="12.75" customHeight="1" outlineLevel="1" x14ac:dyDescent="0.2">
      <c r="A72" s="169"/>
      <c r="B72" s="169"/>
      <c r="C72" s="198"/>
      <c r="D72" s="202" t="s">
        <v>137</v>
      </c>
      <c r="E72" s="309">
        <v>45823</v>
      </c>
      <c r="F72" s="183">
        <v>6.5000000000000002E-2</v>
      </c>
      <c r="G72" s="196">
        <v>5.9900000000000002E-2</v>
      </c>
      <c r="H72" s="196">
        <v>6.2E-2</v>
      </c>
      <c r="I72" s="179">
        <v>6.0183E-2</v>
      </c>
      <c r="J72" s="179">
        <v>6.0299999999999999E-2</v>
      </c>
      <c r="K72" s="185">
        <v>19319000</v>
      </c>
      <c r="L72" s="173">
        <v>4550000</v>
      </c>
      <c r="M72" s="193">
        <f t="shared" si="6"/>
        <v>4.2459340659340663</v>
      </c>
    </row>
    <row r="73" spans="1:13" s="71" customFormat="1" ht="12.75" customHeight="1" outlineLevel="1" x14ac:dyDescent="0.2">
      <c r="A73" s="169"/>
      <c r="B73" s="169"/>
      <c r="C73" s="198"/>
      <c r="D73" s="202" t="s">
        <v>138</v>
      </c>
      <c r="E73" s="309">
        <v>47741</v>
      </c>
      <c r="F73" s="183">
        <v>7.0000000000000007E-2</v>
      </c>
      <c r="G73" s="196">
        <v>6.7299999999999999E-2</v>
      </c>
      <c r="H73" s="196">
        <v>7.0300000000000001E-2</v>
      </c>
      <c r="I73" s="179">
        <v>6.7699999999999996E-2</v>
      </c>
      <c r="J73" s="179">
        <v>6.8000000000000005E-2</v>
      </c>
      <c r="K73" s="173">
        <v>17915000</v>
      </c>
      <c r="L73" s="173">
        <v>3800000</v>
      </c>
      <c r="M73" s="193">
        <f t="shared" si="6"/>
        <v>4.7144736842105264</v>
      </c>
    </row>
    <row r="74" spans="1:13" s="71" customFormat="1" ht="12.75" customHeight="1" outlineLevel="1" x14ac:dyDescent="0.2">
      <c r="A74" s="169"/>
      <c r="B74" s="169"/>
      <c r="C74" s="198"/>
      <c r="D74" s="202" t="s">
        <v>136</v>
      </c>
      <c r="E74" s="309">
        <v>49475</v>
      </c>
      <c r="F74" s="183">
        <v>7.4999999999999997E-2</v>
      </c>
      <c r="G74" s="196">
        <v>7.3300000000000004E-2</v>
      </c>
      <c r="H74" s="196">
        <v>7.5999999999999998E-2</v>
      </c>
      <c r="I74" s="179">
        <v>7.36739E-2</v>
      </c>
      <c r="J74" s="179">
        <v>7.3700000000000002E-2</v>
      </c>
      <c r="K74" s="185">
        <v>7351500</v>
      </c>
      <c r="L74" s="173">
        <v>3200000</v>
      </c>
      <c r="M74" s="193">
        <f t="shared" si="6"/>
        <v>2.29734375</v>
      </c>
    </row>
    <row r="75" spans="1:13" s="71" customFormat="1" ht="12.75" customHeight="1" outlineLevel="1" x14ac:dyDescent="0.2">
      <c r="A75" s="169"/>
      <c r="B75" s="169"/>
      <c r="C75" s="198"/>
      <c r="D75" s="202" t="s">
        <v>144</v>
      </c>
      <c r="E75" s="309">
        <v>51241</v>
      </c>
      <c r="F75" s="183">
        <v>7.4999999999999997E-2</v>
      </c>
      <c r="G75" s="196">
        <v>7.4899999999999994E-2</v>
      </c>
      <c r="H75" s="196">
        <v>7.6300000000000007E-2</v>
      </c>
      <c r="I75" s="179">
        <v>7.4976799999999996E-2</v>
      </c>
      <c r="J75" s="179">
        <v>7.4999999999999997E-2</v>
      </c>
      <c r="K75" s="185">
        <v>3079800</v>
      </c>
      <c r="L75" s="185">
        <v>2250000</v>
      </c>
      <c r="M75" s="193">
        <f t="shared" si="6"/>
        <v>1.3688</v>
      </c>
    </row>
    <row r="76" spans="1:13" s="206" customFormat="1" ht="12.75" customHeight="1" outlineLevel="1" x14ac:dyDescent="0.2">
      <c r="A76" s="169"/>
      <c r="B76" s="169"/>
      <c r="C76" s="169"/>
      <c r="D76" s="201" t="s">
        <v>134</v>
      </c>
      <c r="E76" s="307">
        <v>54193</v>
      </c>
      <c r="F76" s="183">
        <v>7.3749999999999996E-2</v>
      </c>
      <c r="G76" s="183">
        <v>7.5999999999999998E-2</v>
      </c>
      <c r="H76" s="183">
        <v>7.7499999999999999E-2</v>
      </c>
      <c r="I76" s="183">
        <v>7.6474399999999998E-2</v>
      </c>
      <c r="J76" s="183">
        <v>7.6700000000000004E-2</v>
      </c>
      <c r="K76" s="173">
        <v>2283200</v>
      </c>
      <c r="L76" s="173">
        <v>700000</v>
      </c>
      <c r="M76" s="193">
        <f t="shared" si="6"/>
        <v>3.2617142857142856</v>
      </c>
    </row>
    <row r="77" spans="1:13" s="71" customFormat="1" ht="12.75" customHeight="1" outlineLevel="1" x14ac:dyDescent="0.2">
      <c r="A77" s="477" t="s">
        <v>121</v>
      </c>
      <c r="B77" s="478"/>
      <c r="C77" s="478"/>
      <c r="D77" s="478"/>
      <c r="E77" s="478"/>
      <c r="F77" s="478"/>
      <c r="G77" s="478"/>
      <c r="H77" s="478"/>
      <c r="I77" s="478"/>
      <c r="J77" s="479"/>
      <c r="K77" s="220">
        <f>SUM(K70:K76)</f>
        <v>78413500</v>
      </c>
      <c r="L77" s="220">
        <f>SUM(L70:L76)</f>
        <v>17500000</v>
      </c>
      <c r="M77" s="203"/>
    </row>
    <row r="78" spans="1:13" s="206" customFormat="1" ht="12.75" customHeight="1" outlineLevel="1" x14ac:dyDescent="0.2">
      <c r="A78" s="171">
        <v>43894</v>
      </c>
      <c r="B78" s="171">
        <v>43896</v>
      </c>
      <c r="C78" s="205" t="s">
        <v>170</v>
      </c>
      <c r="D78" s="202" t="s">
        <v>95</v>
      </c>
      <c r="E78" s="171">
        <v>46888</v>
      </c>
      <c r="F78" s="183">
        <v>6.1249999999999999E-2</v>
      </c>
      <c r="G78" s="183"/>
      <c r="H78" s="223"/>
      <c r="I78" s="183"/>
      <c r="J78" s="196"/>
      <c r="K78" s="173">
        <v>1500000</v>
      </c>
      <c r="L78" s="173">
        <v>1500000</v>
      </c>
      <c r="M78" s="193"/>
    </row>
    <row r="79" spans="1:13" s="206" customFormat="1" ht="12.75" customHeight="1" outlineLevel="1" x14ac:dyDescent="0.2">
      <c r="A79" s="171"/>
      <c r="B79" s="171"/>
      <c r="C79" s="205"/>
      <c r="D79" s="202" t="s">
        <v>172</v>
      </c>
      <c r="E79" s="171">
        <v>48441</v>
      </c>
      <c r="F79" s="183">
        <v>7.4999999999999997E-2</v>
      </c>
      <c r="G79" s="183"/>
      <c r="H79" s="223"/>
      <c r="I79" s="183"/>
      <c r="J79" s="196"/>
      <c r="K79" s="173">
        <v>500000</v>
      </c>
      <c r="L79" s="173">
        <v>500000</v>
      </c>
      <c r="M79" s="193"/>
    </row>
    <row r="80" spans="1:13" s="206" customFormat="1" ht="12.75" customHeight="1" outlineLevel="1" x14ac:dyDescent="0.2">
      <c r="A80" s="477" t="s">
        <v>121</v>
      </c>
      <c r="B80" s="478"/>
      <c r="C80" s="478"/>
      <c r="D80" s="478"/>
      <c r="E80" s="478"/>
      <c r="F80" s="478"/>
      <c r="G80" s="478"/>
      <c r="H80" s="478"/>
      <c r="I80" s="478"/>
      <c r="J80" s="479"/>
      <c r="K80" s="220">
        <f>SUM(K78:K79)</f>
        <v>2000000</v>
      </c>
      <c r="L80" s="220">
        <f>SUM(L78:L79)</f>
        <v>2000000</v>
      </c>
      <c r="M80" s="220"/>
    </row>
    <row r="81" spans="1:13" s="71" customFormat="1" ht="12.75" customHeight="1" outlineLevel="1" x14ac:dyDescent="0.2">
      <c r="A81" s="171">
        <v>43900</v>
      </c>
      <c r="B81" s="171">
        <v>43902</v>
      </c>
      <c r="C81" s="174" t="s">
        <v>145</v>
      </c>
      <c r="D81" s="201" t="s">
        <v>169</v>
      </c>
      <c r="E81" s="171">
        <v>44085</v>
      </c>
      <c r="F81" s="183" t="s">
        <v>128</v>
      </c>
      <c r="G81" s="183">
        <v>2.9687499999999999E-2</v>
      </c>
      <c r="H81" s="183">
        <v>0.05</v>
      </c>
      <c r="I81" s="179">
        <v>3.00781E-2</v>
      </c>
      <c r="J81" s="179">
        <v>3.0312499999999999E-2</v>
      </c>
      <c r="K81" s="195">
        <v>10781000</v>
      </c>
      <c r="L81" s="195">
        <v>1000000</v>
      </c>
      <c r="M81" s="193">
        <f t="shared" ref="M81:M84" si="7">IF(L81=0,0,K81/L81)</f>
        <v>10.781000000000001</v>
      </c>
    </row>
    <row r="82" spans="1:13" s="71" customFormat="1" ht="12.75" customHeight="1" outlineLevel="1" x14ac:dyDescent="0.2">
      <c r="A82" s="169"/>
      <c r="B82" s="169"/>
      <c r="C82" s="169"/>
      <c r="D82" s="201" t="s">
        <v>49</v>
      </c>
      <c r="E82" s="171">
        <v>44576</v>
      </c>
      <c r="F82" s="183">
        <v>5.45E-2</v>
      </c>
      <c r="G82" s="183">
        <v>4.9062500000000002E-2</v>
      </c>
      <c r="H82" s="183">
        <v>5.5E-2</v>
      </c>
      <c r="I82" s="179">
        <v>4.9792999999999997E-2</v>
      </c>
      <c r="J82" s="179">
        <v>5.0625000000000003E-2</v>
      </c>
      <c r="K82" s="195">
        <v>9561000</v>
      </c>
      <c r="L82" s="195">
        <v>2400000</v>
      </c>
      <c r="M82" s="193">
        <f t="shared" si="7"/>
        <v>3.9837500000000001</v>
      </c>
    </row>
    <row r="83" spans="1:13" s="71" customFormat="1" ht="12.75" customHeight="1" outlineLevel="1" x14ac:dyDescent="0.2">
      <c r="A83" s="169"/>
      <c r="B83" s="169"/>
      <c r="C83" s="169"/>
      <c r="D83" s="201" t="s">
        <v>147</v>
      </c>
      <c r="E83" s="171">
        <v>45580</v>
      </c>
      <c r="F83" s="183">
        <v>6.6250000000000003E-2</v>
      </c>
      <c r="G83" s="183">
        <v>5.6875000000000002E-2</v>
      </c>
      <c r="H83" s="183">
        <v>6.5000000000000002E-2</v>
      </c>
      <c r="I83" s="179">
        <v>5.7187500000000002E-2</v>
      </c>
      <c r="J83" s="179">
        <v>5.7187500000000002E-2</v>
      </c>
      <c r="K83" s="173">
        <v>8660500</v>
      </c>
      <c r="L83" s="192">
        <v>550000</v>
      </c>
      <c r="M83" s="193">
        <f t="shared" si="7"/>
        <v>15.746363636363636</v>
      </c>
    </row>
    <row r="84" spans="1:13" s="71" customFormat="1" ht="12.75" customHeight="1" outlineLevel="1" x14ac:dyDescent="0.2">
      <c r="A84" s="169"/>
      <c r="B84" s="169"/>
      <c r="C84" s="169"/>
      <c r="D84" s="201" t="s">
        <v>148</v>
      </c>
      <c r="E84" s="171">
        <v>52336</v>
      </c>
      <c r="F84" s="183">
        <v>6.7500000000000004E-2</v>
      </c>
      <c r="G84" s="183">
        <v>7.5312500000000004E-2</v>
      </c>
      <c r="H84" s="183">
        <v>8.0625000000000002E-2</v>
      </c>
      <c r="I84" s="179">
        <v>7.5937500000000005E-2</v>
      </c>
      <c r="J84" s="179">
        <v>7.5937500000000005E-2</v>
      </c>
      <c r="K84" s="173">
        <v>7729400</v>
      </c>
      <c r="L84" s="192">
        <v>4050000</v>
      </c>
      <c r="M84" s="193">
        <f t="shared" si="7"/>
        <v>1.9084938271604939</v>
      </c>
    </row>
    <row r="85" spans="1:13" s="206" customFormat="1" ht="12.75" customHeight="1" outlineLevel="1" x14ac:dyDescent="0.2">
      <c r="A85" s="477" t="s">
        <v>121</v>
      </c>
      <c r="B85" s="478"/>
      <c r="C85" s="478"/>
      <c r="D85" s="478"/>
      <c r="E85" s="478"/>
      <c r="F85" s="478"/>
      <c r="G85" s="478"/>
      <c r="H85" s="478"/>
      <c r="I85" s="478"/>
      <c r="J85" s="479"/>
      <c r="K85" s="220">
        <f>SUM(K81:K84)</f>
        <v>36731900</v>
      </c>
      <c r="L85" s="220">
        <f>SUM(L81:L84)</f>
        <v>8000000</v>
      </c>
      <c r="M85" s="220"/>
    </row>
    <row r="86" spans="1:13" s="206" customFormat="1" ht="12.75" customHeight="1" outlineLevel="1" x14ac:dyDescent="0.2">
      <c r="A86" s="230">
        <v>43894</v>
      </c>
      <c r="B86" s="230">
        <v>43900</v>
      </c>
      <c r="C86" s="231" t="s">
        <v>170</v>
      </c>
      <c r="D86" s="232" t="s">
        <v>178</v>
      </c>
      <c r="E86" s="230">
        <v>45726</v>
      </c>
      <c r="F86" s="233">
        <v>0.05</v>
      </c>
      <c r="G86" s="234"/>
      <c r="H86" s="234"/>
      <c r="I86" s="234"/>
      <c r="J86" s="234"/>
      <c r="K86" s="203">
        <v>50849</v>
      </c>
      <c r="L86" s="203">
        <v>50849</v>
      </c>
      <c r="M86" s="220"/>
    </row>
    <row r="87" spans="1:13" s="206" customFormat="1" ht="12.75" customHeight="1" outlineLevel="1" x14ac:dyDescent="0.2">
      <c r="A87" s="480" t="s">
        <v>17</v>
      </c>
      <c r="B87" s="481"/>
      <c r="C87" s="481"/>
      <c r="D87" s="481"/>
      <c r="E87" s="481"/>
      <c r="F87" s="481"/>
      <c r="G87" s="481"/>
      <c r="H87" s="481"/>
      <c r="I87" s="481"/>
      <c r="J87" s="482"/>
      <c r="K87" s="229">
        <v>50849</v>
      </c>
      <c r="L87" s="229">
        <v>50849</v>
      </c>
      <c r="M87" s="229"/>
    </row>
    <row r="88" spans="1:13" s="206" customFormat="1" ht="12.75" customHeight="1" outlineLevel="1" x14ac:dyDescent="0.2">
      <c r="A88" s="230">
        <v>43901</v>
      </c>
      <c r="B88" s="230">
        <v>43907</v>
      </c>
      <c r="C88" s="231" t="s">
        <v>170</v>
      </c>
      <c r="D88" s="239" t="s">
        <v>159</v>
      </c>
      <c r="E88" s="230">
        <v>53888</v>
      </c>
      <c r="F88" s="233">
        <v>0.08</v>
      </c>
      <c r="G88" s="233"/>
      <c r="H88" s="233"/>
      <c r="I88" s="233"/>
      <c r="J88" s="233"/>
      <c r="K88" s="203">
        <v>2000000</v>
      </c>
      <c r="L88" s="203">
        <v>2000000</v>
      </c>
      <c r="M88" s="235"/>
    </row>
    <row r="89" spans="1:13" s="206" customFormat="1" ht="12.75" customHeight="1" outlineLevel="1" x14ac:dyDescent="0.2">
      <c r="A89" s="477" t="s">
        <v>121</v>
      </c>
      <c r="B89" s="478"/>
      <c r="C89" s="478"/>
      <c r="D89" s="478"/>
      <c r="E89" s="478"/>
      <c r="F89" s="478"/>
      <c r="G89" s="478"/>
      <c r="H89" s="478"/>
      <c r="I89" s="478"/>
      <c r="J89" s="479"/>
      <c r="K89" s="220">
        <f>SUM(K88)</f>
        <v>2000000</v>
      </c>
      <c r="L89" s="220">
        <f>SUM(L88)</f>
        <v>2000000</v>
      </c>
      <c r="M89" s="220"/>
    </row>
    <row r="90" spans="1:13" s="206" customFormat="1" ht="12.75" customHeight="1" outlineLevel="1" x14ac:dyDescent="0.2">
      <c r="A90" s="171">
        <v>43907</v>
      </c>
      <c r="B90" s="171">
        <v>43909</v>
      </c>
      <c r="C90" s="205" t="s">
        <v>145</v>
      </c>
      <c r="D90" s="202" t="s">
        <v>171</v>
      </c>
      <c r="E90" s="197">
        <v>44001</v>
      </c>
      <c r="F90" s="199" t="s">
        <v>128</v>
      </c>
      <c r="G90" s="196">
        <v>2.5999999999999999E-2</v>
      </c>
      <c r="H90" s="196">
        <v>3.2000000000000001E-2</v>
      </c>
      <c r="I90" s="179">
        <v>2.7652900000000001E-2</v>
      </c>
      <c r="J90" s="179">
        <v>2.9399999999999999E-2</v>
      </c>
      <c r="K90" s="185">
        <v>11240000</v>
      </c>
      <c r="L90" s="185">
        <v>3100000</v>
      </c>
      <c r="M90" s="193">
        <f t="shared" ref="M90:M95" si="8">IF(L90=0,0,K90/L90)</f>
        <v>3.6258064516129034</v>
      </c>
    </row>
    <row r="91" spans="1:13" s="71" customFormat="1" ht="12.75" customHeight="1" outlineLevel="1" x14ac:dyDescent="0.2">
      <c r="A91" s="169"/>
      <c r="B91" s="169"/>
      <c r="C91" s="224"/>
      <c r="D91" s="202" t="s">
        <v>164</v>
      </c>
      <c r="E91" s="197">
        <v>44259</v>
      </c>
      <c r="F91" s="199" t="s">
        <v>128</v>
      </c>
      <c r="G91" s="196">
        <v>3.0499999999999999E-2</v>
      </c>
      <c r="H91" s="196">
        <v>3.5999999999999997E-2</v>
      </c>
      <c r="I91" s="179">
        <v>3.35156E-2</v>
      </c>
      <c r="J91" s="179">
        <v>3.5000000000000003E-2</v>
      </c>
      <c r="K91" s="173">
        <v>18200000</v>
      </c>
      <c r="L91" s="173">
        <v>6400000</v>
      </c>
      <c r="M91" s="193">
        <f t="shared" si="8"/>
        <v>2.84375</v>
      </c>
    </row>
    <row r="92" spans="1:13" s="71" customFormat="1" ht="12.75" customHeight="1" outlineLevel="1" x14ac:dyDescent="0.2">
      <c r="A92" s="169"/>
      <c r="B92" s="169"/>
      <c r="C92" s="224"/>
      <c r="D92" s="202" t="s">
        <v>137</v>
      </c>
      <c r="E92" s="309">
        <v>45823</v>
      </c>
      <c r="F92" s="183">
        <v>6.5000000000000002E-2</v>
      </c>
      <c r="G92" s="196">
        <v>6.6900000000000001E-2</v>
      </c>
      <c r="H92" s="196">
        <v>7.0999999999999994E-2</v>
      </c>
      <c r="I92" s="179">
        <v>6.71041E-2</v>
      </c>
      <c r="J92" s="179">
        <v>6.7299999999999999E-2</v>
      </c>
      <c r="K92" s="185">
        <v>10412000</v>
      </c>
      <c r="L92" s="173">
        <v>3500000</v>
      </c>
      <c r="M92" s="193">
        <f t="shared" si="8"/>
        <v>2.9748571428571426</v>
      </c>
    </row>
    <row r="93" spans="1:13" s="71" customFormat="1" ht="12.75" customHeight="1" outlineLevel="1" x14ac:dyDescent="0.2">
      <c r="A93" s="169"/>
      <c r="B93" s="169"/>
      <c r="C93" s="224"/>
      <c r="D93" s="202" t="s">
        <v>138</v>
      </c>
      <c r="E93" s="309">
        <v>47741</v>
      </c>
      <c r="F93" s="183">
        <v>7.0000000000000007E-2</v>
      </c>
      <c r="G93" s="196">
        <v>7.4200000000000002E-2</v>
      </c>
      <c r="H93" s="196">
        <v>7.7499999999999999E-2</v>
      </c>
      <c r="I93" s="179">
        <v>7.4739700000000006E-2</v>
      </c>
      <c r="J93" s="179">
        <v>7.4999999999999997E-2</v>
      </c>
      <c r="K93" s="173">
        <v>7427100</v>
      </c>
      <c r="L93" s="173">
        <v>2600000</v>
      </c>
      <c r="M93" s="193">
        <f t="shared" si="8"/>
        <v>2.8565769230769229</v>
      </c>
    </row>
    <row r="94" spans="1:13" s="71" customFormat="1" ht="12.75" customHeight="1" outlineLevel="1" x14ac:dyDescent="0.2">
      <c r="A94" s="169"/>
      <c r="B94" s="169"/>
      <c r="C94" s="224"/>
      <c r="D94" s="202" t="s">
        <v>136</v>
      </c>
      <c r="E94" s="309">
        <v>49475</v>
      </c>
      <c r="F94" s="183">
        <v>7.4999999999999997E-2</v>
      </c>
      <c r="G94" s="196">
        <v>7.6200000000000004E-2</v>
      </c>
      <c r="H94" s="196">
        <v>0.08</v>
      </c>
      <c r="I94" s="179">
        <v>7.69262E-2</v>
      </c>
      <c r="J94" s="179">
        <v>7.7100000000000002E-2</v>
      </c>
      <c r="K94" s="185">
        <v>2009400</v>
      </c>
      <c r="L94" s="173">
        <v>850000</v>
      </c>
      <c r="M94" s="193">
        <f t="shared" si="8"/>
        <v>2.3639999999999999</v>
      </c>
    </row>
    <row r="95" spans="1:13" s="71" customFormat="1" ht="12.75" customHeight="1" outlineLevel="1" x14ac:dyDescent="0.2">
      <c r="A95" s="169"/>
      <c r="B95" s="169"/>
      <c r="C95" s="224"/>
      <c r="D95" s="202" t="s">
        <v>144</v>
      </c>
      <c r="E95" s="309">
        <v>51241</v>
      </c>
      <c r="F95" s="183">
        <v>7.4999999999999997E-2</v>
      </c>
      <c r="G95" s="196">
        <v>7.7499999999999999E-2</v>
      </c>
      <c r="H95" s="196">
        <v>8.2500000000000004E-2</v>
      </c>
      <c r="I95" s="179">
        <v>7.8369499999999995E-2</v>
      </c>
      <c r="J95" s="179">
        <v>7.85E-2</v>
      </c>
      <c r="K95" s="185">
        <v>1263800</v>
      </c>
      <c r="L95" s="173">
        <v>600000</v>
      </c>
      <c r="M95" s="193">
        <f t="shared" si="8"/>
        <v>2.1063333333333332</v>
      </c>
    </row>
    <row r="96" spans="1:13" s="206" customFormat="1" ht="12.75" customHeight="1" outlineLevel="1" x14ac:dyDescent="0.2">
      <c r="A96" s="169"/>
      <c r="B96" s="169"/>
      <c r="C96" s="169"/>
      <c r="D96" s="201" t="s">
        <v>134</v>
      </c>
      <c r="E96" s="307">
        <v>54193</v>
      </c>
      <c r="F96" s="183">
        <v>7.3749999999999996E-2</v>
      </c>
      <c r="G96" s="183">
        <v>7.7399999999999997E-2</v>
      </c>
      <c r="H96" s="183">
        <v>8.5000000000000006E-2</v>
      </c>
      <c r="I96" s="225" t="s">
        <v>130</v>
      </c>
      <c r="J96" s="225" t="s">
        <v>130</v>
      </c>
      <c r="K96" s="173">
        <v>755500</v>
      </c>
      <c r="L96" s="225" t="s">
        <v>130</v>
      </c>
      <c r="M96" s="225" t="s">
        <v>130</v>
      </c>
    </row>
    <row r="97" spans="1:13" s="71" customFormat="1" ht="12.75" customHeight="1" outlineLevel="1" x14ac:dyDescent="0.2">
      <c r="A97" s="477" t="s">
        <v>121</v>
      </c>
      <c r="B97" s="478"/>
      <c r="C97" s="478"/>
      <c r="D97" s="478"/>
      <c r="E97" s="478"/>
      <c r="F97" s="478"/>
      <c r="G97" s="478"/>
      <c r="H97" s="478"/>
      <c r="I97" s="478"/>
      <c r="J97" s="479"/>
      <c r="K97" s="220">
        <f>SUM(K90:K96)</f>
        <v>51307800</v>
      </c>
      <c r="L97" s="220">
        <f>SUM(L90:L96)</f>
        <v>17050000</v>
      </c>
      <c r="M97" s="203"/>
    </row>
    <row r="98" spans="1:13" s="71" customFormat="1" ht="12.75" customHeight="1" outlineLevel="1" x14ac:dyDescent="0.2">
      <c r="A98" s="230">
        <v>43881</v>
      </c>
      <c r="B98" s="230">
        <v>43916</v>
      </c>
      <c r="C98" s="236" t="s">
        <v>149</v>
      </c>
      <c r="D98" s="237" t="s">
        <v>177</v>
      </c>
      <c r="E98" s="230">
        <v>44995</v>
      </c>
      <c r="F98" s="233">
        <v>6.3E-2</v>
      </c>
      <c r="G98" s="233"/>
      <c r="H98" s="233"/>
      <c r="I98" s="238"/>
      <c r="J98" s="238"/>
      <c r="K98" s="203">
        <v>12142572</v>
      </c>
      <c r="L98" s="203">
        <v>12142572</v>
      </c>
      <c r="M98" s="204">
        <f>IF(L98=0,0,K98/L98)</f>
        <v>1</v>
      </c>
    </row>
    <row r="99" spans="1:13" s="71" customFormat="1" ht="12.75" customHeight="1" outlineLevel="1" x14ac:dyDescent="0.2">
      <c r="A99" s="480" t="s">
        <v>17</v>
      </c>
      <c r="B99" s="481"/>
      <c r="C99" s="481"/>
      <c r="D99" s="481"/>
      <c r="E99" s="481"/>
      <c r="F99" s="481"/>
      <c r="G99" s="481"/>
      <c r="H99" s="481"/>
      <c r="I99" s="481"/>
      <c r="J99" s="482"/>
      <c r="K99" s="229">
        <v>12142572</v>
      </c>
      <c r="L99" s="229">
        <v>12142572</v>
      </c>
      <c r="M99" s="173"/>
    </row>
    <row r="100" spans="1:13" s="71" customFormat="1" ht="12.75" customHeight="1" outlineLevel="1" x14ac:dyDescent="0.2">
      <c r="A100" s="171">
        <v>43914</v>
      </c>
      <c r="B100" s="171">
        <v>43916</v>
      </c>
      <c r="C100" s="174" t="s">
        <v>145</v>
      </c>
      <c r="D100" s="201" t="s">
        <v>169</v>
      </c>
      <c r="E100" s="171">
        <v>44085</v>
      </c>
      <c r="F100" s="183" t="s">
        <v>128</v>
      </c>
      <c r="G100" s="183">
        <v>0.03</v>
      </c>
      <c r="H100" s="183">
        <v>0.06</v>
      </c>
      <c r="I100" s="179">
        <v>3.07354E-2</v>
      </c>
      <c r="J100" s="179">
        <v>3.125E-2</v>
      </c>
      <c r="K100" s="195">
        <v>10181000</v>
      </c>
      <c r="L100" s="195">
        <v>5150000</v>
      </c>
      <c r="M100" s="193">
        <f t="shared" ref="M100:M104" si="9">IF(L100=0,0,K100/L100)</f>
        <v>1.9768932038834952</v>
      </c>
    </row>
    <row r="101" spans="1:13" s="71" customFormat="1" ht="12.75" customHeight="1" outlineLevel="1" x14ac:dyDescent="0.2">
      <c r="A101" s="169"/>
      <c r="B101" s="169"/>
      <c r="C101" s="169"/>
      <c r="D101" s="201" t="s">
        <v>49</v>
      </c>
      <c r="E101" s="171">
        <v>44576</v>
      </c>
      <c r="F101" s="183">
        <v>5.45E-2</v>
      </c>
      <c r="G101" s="183">
        <v>5.9687499999999998E-2</v>
      </c>
      <c r="H101" s="183">
        <v>7.4999999999999997E-2</v>
      </c>
      <c r="I101" s="226" t="s">
        <v>130</v>
      </c>
      <c r="J101" s="226" t="s">
        <v>130</v>
      </c>
      <c r="K101" s="195">
        <v>2258000</v>
      </c>
      <c r="L101" s="195" t="s">
        <v>130</v>
      </c>
      <c r="M101" s="227" t="s">
        <v>130</v>
      </c>
    </row>
    <row r="102" spans="1:13" s="71" customFormat="1" ht="12.75" customHeight="1" outlineLevel="1" x14ac:dyDescent="0.2">
      <c r="A102" s="169"/>
      <c r="B102" s="169"/>
      <c r="C102" s="169"/>
      <c r="D102" s="201" t="s">
        <v>147</v>
      </c>
      <c r="E102" s="171">
        <v>45580</v>
      </c>
      <c r="F102" s="183">
        <v>6.6250000000000003E-2</v>
      </c>
      <c r="G102" s="183">
        <v>7.0624999999999993E-2</v>
      </c>
      <c r="H102" s="183">
        <v>7.4999999999999997E-2</v>
      </c>
      <c r="I102" s="179">
        <v>7.1645799999999996E-2</v>
      </c>
      <c r="J102" s="179">
        <v>7.2499999999999995E-2</v>
      </c>
      <c r="K102" s="173">
        <v>368000</v>
      </c>
      <c r="L102" s="192">
        <v>240000</v>
      </c>
      <c r="M102" s="193">
        <f t="shared" si="9"/>
        <v>1.5333333333333334</v>
      </c>
    </row>
    <row r="103" spans="1:13" s="71" customFormat="1" ht="12.75" customHeight="1" outlineLevel="1" x14ac:dyDescent="0.2">
      <c r="A103" s="169"/>
      <c r="B103" s="169"/>
      <c r="C103" s="169"/>
      <c r="D103" s="201" t="s">
        <v>53</v>
      </c>
      <c r="E103" s="171">
        <v>50086</v>
      </c>
      <c r="F103" s="183">
        <v>6.0999999999999999E-2</v>
      </c>
      <c r="G103" s="183">
        <v>8.6562500000000001E-2</v>
      </c>
      <c r="H103" s="183">
        <v>8.9687500000000003E-2</v>
      </c>
      <c r="I103" s="179">
        <v>8.7476999999999999E-2</v>
      </c>
      <c r="J103" s="179">
        <v>8.7499999999999994E-2</v>
      </c>
      <c r="K103" s="173">
        <v>1321000</v>
      </c>
      <c r="L103" s="192">
        <v>770000</v>
      </c>
      <c r="M103" s="193">
        <f t="shared" si="9"/>
        <v>1.7155844155844155</v>
      </c>
    </row>
    <row r="104" spans="1:13" s="71" customFormat="1" ht="12.75" customHeight="1" outlineLevel="1" x14ac:dyDescent="0.2">
      <c r="A104" s="169"/>
      <c r="B104" s="169"/>
      <c r="C104" s="169"/>
      <c r="D104" s="201" t="s">
        <v>148</v>
      </c>
      <c r="E104" s="171">
        <v>52336</v>
      </c>
      <c r="F104" s="183">
        <v>6.7500000000000004E-2</v>
      </c>
      <c r="G104" s="183">
        <v>8.9374999999999996E-2</v>
      </c>
      <c r="H104" s="183">
        <v>9.5000000000000001E-2</v>
      </c>
      <c r="I104" s="179">
        <v>9.0146500000000004E-2</v>
      </c>
      <c r="J104" s="179">
        <v>9.0624999999999997E-2</v>
      </c>
      <c r="K104" s="173">
        <v>481600</v>
      </c>
      <c r="L104" s="192">
        <v>440000</v>
      </c>
      <c r="M104" s="193">
        <f t="shared" si="9"/>
        <v>1.0945454545454545</v>
      </c>
    </row>
    <row r="105" spans="1:13" s="206" customFormat="1" ht="12.75" customHeight="1" outlineLevel="1" x14ac:dyDescent="0.2">
      <c r="A105" s="477" t="s">
        <v>121</v>
      </c>
      <c r="B105" s="478"/>
      <c r="C105" s="478"/>
      <c r="D105" s="478"/>
      <c r="E105" s="478"/>
      <c r="F105" s="478"/>
      <c r="G105" s="478"/>
      <c r="H105" s="478"/>
      <c r="I105" s="478"/>
      <c r="J105" s="479"/>
      <c r="K105" s="220">
        <f>SUM(K100:K104)</f>
        <v>14609600</v>
      </c>
      <c r="L105" s="220">
        <f>SUM(L100:L104)</f>
        <v>6600000</v>
      </c>
      <c r="M105" s="220"/>
    </row>
    <row r="106" spans="1:13" s="206" customFormat="1" ht="12.75" customHeight="1" outlineLevel="1" x14ac:dyDescent="0.2">
      <c r="A106" s="171">
        <v>43916</v>
      </c>
      <c r="B106" s="171">
        <v>43920</v>
      </c>
      <c r="C106" s="205" t="s">
        <v>170</v>
      </c>
      <c r="D106" s="202" t="s">
        <v>94</v>
      </c>
      <c r="E106" s="171">
        <v>45061</v>
      </c>
      <c r="F106" s="183">
        <v>5.6250000000000001E-2</v>
      </c>
      <c r="G106" s="183"/>
      <c r="H106" s="223"/>
      <c r="I106" s="183"/>
      <c r="J106" s="196"/>
      <c r="K106" s="173">
        <v>2000000</v>
      </c>
      <c r="L106" s="173">
        <v>2000000</v>
      </c>
      <c r="M106" s="193"/>
    </row>
    <row r="107" spans="1:13" s="228" customFormat="1" ht="12.75" customHeight="1" outlineLevel="1" x14ac:dyDescent="0.2">
      <c r="A107" s="477" t="s">
        <v>121</v>
      </c>
      <c r="B107" s="478"/>
      <c r="C107" s="478"/>
      <c r="D107" s="478"/>
      <c r="E107" s="478"/>
      <c r="F107" s="478"/>
      <c r="G107" s="478"/>
      <c r="H107" s="478"/>
      <c r="I107" s="478"/>
      <c r="J107" s="479"/>
      <c r="K107" s="220">
        <f>K106</f>
        <v>2000000</v>
      </c>
      <c r="L107" s="220">
        <f>L106</f>
        <v>2000000</v>
      </c>
      <c r="M107" s="204"/>
    </row>
    <row r="108" spans="1:13" s="180" customFormat="1" ht="12.75" customHeight="1" x14ac:dyDescent="0.2">
      <c r="A108" s="468" t="s">
        <v>168</v>
      </c>
      <c r="B108" s="469"/>
      <c r="C108" s="469"/>
      <c r="D108" s="469"/>
      <c r="E108" s="469"/>
      <c r="F108" s="469"/>
      <c r="G108" s="469"/>
      <c r="H108" s="469"/>
      <c r="I108" s="469"/>
      <c r="J108" s="470"/>
      <c r="K108" s="182">
        <f>SUM(K77,K80,K85,K87,K89,K97,K99,K105,K107)</f>
        <v>199256221</v>
      </c>
      <c r="L108" s="182">
        <f>SUM(L77,L80,L85,L87,L89,L97,L99,L105,L107)</f>
        <v>67343421</v>
      </c>
      <c r="M108" s="181"/>
    </row>
    <row r="109" spans="1:13" s="180" customFormat="1" ht="12.75" customHeight="1" x14ac:dyDescent="0.2">
      <c r="A109" s="468" t="s">
        <v>176</v>
      </c>
      <c r="B109" s="469"/>
      <c r="C109" s="469"/>
      <c r="D109" s="469"/>
      <c r="E109" s="469"/>
      <c r="F109" s="469"/>
      <c r="G109" s="469"/>
      <c r="H109" s="469"/>
      <c r="I109" s="469"/>
      <c r="J109" s="470"/>
      <c r="K109" s="182">
        <f>SUM(K69,K108)</f>
        <v>981036897</v>
      </c>
      <c r="L109" s="182">
        <f>SUM(L69,L108)</f>
        <v>221614497</v>
      </c>
      <c r="M109" s="181"/>
    </row>
    <row r="110" spans="1:13" s="206" customFormat="1" ht="12.75" customHeight="1" outlineLevel="1" x14ac:dyDescent="0.2">
      <c r="A110" s="171">
        <v>43921</v>
      </c>
      <c r="B110" s="171">
        <v>43923</v>
      </c>
      <c r="C110" s="205" t="s">
        <v>145</v>
      </c>
      <c r="D110" s="202" t="s">
        <v>174</v>
      </c>
      <c r="E110" s="197">
        <v>44015</v>
      </c>
      <c r="F110" s="199" t="s">
        <v>128</v>
      </c>
      <c r="G110" s="196">
        <v>2.4500000000000001E-2</v>
      </c>
      <c r="H110" s="196">
        <v>2.9499999999999998E-2</v>
      </c>
      <c r="I110" s="179">
        <v>2.5000000000000001E-2</v>
      </c>
      <c r="J110" s="179">
        <v>2.5499999999999998E-2</v>
      </c>
      <c r="K110" s="185">
        <v>2590000</v>
      </c>
      <c r="L110" s="185">
        <v>320000</v>
      </c>
      <c r="M110" s="193">
        <f t="shared" ref="M110:M115" si="10">IF(L110=0,0,K110/L110)</f>
        <v>8.09375</v>
      </c>
    </row>
    <row r="111" spans="1:13" s="71" customFormat="1" ht="12.75" customHeight="1" outlineLevel="1" x14ac:dyDescent="0.2">
      <c r="A111" s="169"/>
      <c r="B111" s="169"/>
      <c r="C111" s="224"/>
      <c r="D111" s="202" t="s">
        <v>175</v>
      </c>
      <c r="E111" s="197">
        <v>44287</v>
      </c>
      <c r="F111" s="199" t="s">
        <v>128</v>
      </c>
      <c r="G111" s="196">
        <v>3.3500000000000002E-2</v>
      </c>
      <c r="H111" s="196">
        <v>3.5499999999999997E-2</v>
      </c>
      <c r="I111" s="179">
        <v>3.4490699999999999E-2</v>
      </c>
      <c r="J111" s="179">
        <v>3.5099999999999999E-2</v>
      </c>
      <c r="K111" s="173">
        <v>7600000</v>
      </c>
      <c r="L111" s="173">
        <v>4300000</v>
      </c>
      <c r="M111" s="193">
        <f t="shared" si="10"/>
        <v>1.7674418604651163</v>
      </c>
    </row>
    <row r="112" spans="1:13" s="71" customFormat="1" ht="12.75" customHeight="1" outlineLevel="1" x14ac:dyDescent="0.2">
      <c r="A112" s="169"/>
      <c r="B112" s="169"/>
      <c r="C112" s="224"/>
      <c r="D112" s="202" t="s">
        <v>137</v>
      </c>
      <c r="E112" s="309">
        <v>45823</v>
      </c>
      <c r="F112" s="183">
        <v>6.5000000000000002E-2</v>
      </c>
      <c r="G112" s="196">
        <v>7.1099999999999997E-2</v>
      </c>
      <c r="H112" s="196">
        <v>7.5499999999999998E-2</v>
      </c>
      <c r="I112" s="179">
        <v>7.1543099999999998E-2</v>
      </c>
      <c r="J112" s="179">
        <v>7.2300000000000003E-2</v>
      </c>
      <c r="K112" s="173">
        <v>9463000</v>
      </c>
      <c r="L112" s="173">
        <v>8000000</v>
      </c>
      <c r="M112" s="193">
        <f t="shared" si="10"/>
        <v>1.1828749999999999</v>
      </c>
    </row>
    <row r="113" spans="1:13" s="71" customFormat="1" ht="12.75" customHeight="1" outlineLevel="1" x14ac:dyDescent="0.2">
      <c r="A113" s="169"/>
      <c r="B113" s="169"/>
      <c r="C113" s="224"/>
      <c r="D113" s="202" t="s">
        <v>138</v>
      </c>
      <c r="E113" s="309">
        <v>47741</v>
      </c>
      <c r="F113" s="183">
        <v>7.0000000000000007E-2</v>
      </c>
      <c r="G113" s="196">
        <v>7.7799999999999994E-2</v>
      </c>
      <c r="H113" s="196">
        <v>8.2699999999999996E-2</v>
      </c>
      <c r="I113" s="179">
        <v>7.8298699999999999E-2</v>
      </c>
      <c r="J113" s="179">
        <v>7.9000000000000001E-2</v>
      </c>
      <c r="K113" s="173">
        <v>8514500</v>
      </c>
      <c r="L113" s="173">
        <v>6350000</v>
      </c>
      <c r="M113" s="193">
        <f t="shared" si="10"/>
        <v>1.3408661417322834</v>
      </c>
    </row>
    <row r="114" spans="1:13" s="71" customFormat="1" ht="12.75" customHeight="1" outlineLevel="1" x14ac:dyDescent="0.2">
      <c r="A114" s="169"/>
      <c r="B114" s="169"/>
      <c r="C114" s="224"/>
      <c r="D114" s="202" t="s">
        <v>136</v>
      </c>
      <c r="E114" s="309">
        <v>49475</v>
      </c>
      <c r="F114" s="183">
        <v>7.4999999999999997E-2</v>
      </c>
      <c r="G114" s="196">
        <v>8.1699999999999995E-2</v>
      </c>
      <c r="H114" s="196">
        <v>8.5300000000000001E-2</v>
      </c>
      <c r="I114" s="179">
        <v>8.2299499999999998E-2</v>
      </c>
      <c r="J114" s="179">
        <v>8.2600000000000007E-2</v>
      </c>
      <c r="K114" s="173">
        <v>3595800</v>
      </c>
      <c r="L114" s="173">
        <v>2400000</v>
      </c>
      <c r="M114" s="193">
        <f t="shared" si="10"/>
        <v>1.4982500000000001</v>
      </c>
    </row>
    <row r="115" spans="1:13" s="71" customFormat="1" ht="12.75" customHeight="1" outlineLevel="1" x14ac:dyDescent="0.2">
      <c r="A115" s="169"/>
      <c r="B115" s="169"/>
      <c r="C115" s="224"/>
      <c r="D115" s="202" t="s">
        <v>144</v>
      </c>
      <c r="E115" s="309">
        <v>51241</v>
      </c>
      <c r="F115" s="183">
        <v>7.4999999999999997E-2</v>
      </c>
      <c r="G115" s="196">
        <v>8.2699999999999996E-2</v>
      </c>
      <c r="H115" s="196">
        <v>8.6499999999999994E-2</v>
      </c>
      <c r="I115" s="179">
        <v>8.3394200000000002E-2</v>
      </c>
      <c r="J115" s="179">
        <v>8.3500000000000005E-2</v>
      </c>
      <c r="K115" s="173">
        <v>1486900</v>
      </c>
      <c r="L115" s="173">
        <v>850000</v>
      </c>
      <c r="M115" s="193">
        <f t="shared" si="10"/>
        <v>1.7492941176470589</v>
      </c>
    </row>
    <row r="116" spans="1:13" s="206" customFormat="1" ht="12.75" customHeight="1" outlineLevel="1" x14ac:dyDescent="0.2">
      <c r="A116" s="169"/>
      <c r="B116" s="169"/>
      <c r="C116" s="169"/>
      <c r="D116" s="201" t="s">
        <v>134</v>
      </c>
      <c r="E116" s="307">
        <v>54193</v>
      </c>
      <c r="F116" s="183">
        <v>7.3749999999999996E-2</v>
      </c>
      <c r="G116" s="225">
        <v>8.3400000000000002E-2</v>
      </c>
      <c r="H116" s="183">
        <v>8.9499999999999996E-2</v>
      </c>
      <c r="I116" s="225" t="s">
        <v>130</v>
      </c>
      <c r="J116" s="225" t="s">
        <v>130</v>
      </c>
      <c r="K116" s="173">
        <v>264800</v>
      </c>
      <c r="L116" s="261" t="s">
        <v>130</v>
      </c>
      <c r="M116" s="261" t="s">
        <v>130</v>
      </c>
    </row>
    <row r="117" spans="1:13" s="206" customFormat="1" ht="12.75" customHeight="1" outlineLevel="1" x14ac:dyDescent="0.2">
      <c r="A117" s="477" t="s">
        <v>121</v>
      </c>
      <c r="B117" s="478"/>
      <c r="C117" s="478"/>
      <c r="D117" s="478"/>
      <c r="E117" s="478"/>
      <c r="F117" s="478"/>
      <c r="G117" s="478"/>
      <c r="H117" s="478"/>
      <c r="I117" s="478"/>
      <c r="J117" s="479"/>
      <c r="K117" s="220">
        <f>SUM(K110:K116)</f>
        <v>33515000</v>
      </c>
      <c r="L117" s="220">
        <f>SUM(L110:L116)</f>
        <v>22220000</v>
      </c>
      <c r="M117" s="220"/>
    </row>
    <row r="118" spans="1:13" s="71" customFormat="1" ht="12.75" customHeight="1" outlineLevel="1" x14ac:dyDescent="0.2">
      <c r="A118" s="171">
        <v>43928</v>
      </c>
      <c r="B118" s="171">
        <v>43930</v>
      </c>
      <c r="C118" s="174" t="s">
        <v>145</v>
      </c>
      <c r="D118" s="201" t="s">
        <v>179</v>
      </c>
      <c r="E118" s="171">
        <v>44112</v>
      </c>
      <c r="F118" s="183" t="s">
        <v>128</v>
      </c>
      <c r="G118" s="183">
        <v>3.125E-2</v>
      </c>
      <c r="H118" s="183">
        <v>6.7500000000000004E-2</v>
      </c>
      <c r="I118" s="179">
        <v>3.125E-2</v>
      </c>
      <c r="J118" s="179">
        <v>3.125E-2</v>
      </c>
      <c r="K118" s="195">
        <v>6182000</v>
      </c>
      <c r="L118" s="195">
        <v>600000</v>
      </c>
      <c r="M118" s="193">
        <f t="shared" ref="M118" si="11">IF(L118=0,0,K118/L118)</f>
        <v>10.303333333333333</v>
      </c>
    </row>
    <row r="119" spans="1:13" s="71" customFormat="1" ht="12.75" customHeight="1" outlineLevel="1" x14ac:dyDescent="0.2">
      <c r="A119" s="171"/>
      <c r="B119" s="171"/>
      <c r="C119" s="174"/>
      <c r="D119" s="201" t="s">
        <v>180</v>
      </c>
      <c r="E119" s="171">
        <v>44204</v>
      </c>
      <c r="F119" s="183" t="s">
        <v>128</v>
      </c>
      <c r="G119" s="183">
        <v>3.3437500000000002E-2</v>
      </c>
      <c r="H119" s="183">
        <v>3.5000000000000003E-2</v>
      </c>
      <c r="I119" s="179">
        <v>3.4169900000000003E-2</v>
      </c>
      <c r="J119" s="179">
        <v>3.5000000000000003E-2</v>
      </c>
      <c r="K119" s="195">
        <v>6600000</v>
      </c>
      <c r="L119" s="195">
        <v>3200000</v>
      </c>
      <c r="M119" s="193">
        <f>IF(L119=0,0,K119/L119)</f>
        <v>2.0625</v>
      </c>
    </row>
    <row r="120" spans="1:13" s="71" customFormat="1" ht="12.75" customHeight="1" outlineLevel="1" x14ac:dyDescent="0.2">
      <c r="A120" s="169"/>
      <c r="B120" s="169"/>
      <c r="C120" s="169"/>
      <c r="D120" s="201" t="s">
        <v>49</v>
      </c>
      <c r="E120" s="171">
        <v>44576</v>
      </c>
      <c r="F120" s="183">
        <v>5.45E-2</v>
      </c>
      <c r="G120" s="183">
        <v>5.8749999999999997E-2</v>
      </c>
      <c r="H120" s="183">
        <v>7.0000000000000007E-2</v>
      </c>
      <c r="I120" s="226">
        <v>5.90573E-2</v>
      </c>
      <c r="J120" s="226">
        <v>5.9374999999999997E-2</v>
      </c>
      <c r="K120" s="195">
        <v>1126000</v>
      </c>
      <c r="L120" s="195">
        <v>470000</v>
      </c>
      <c r="M120" s="193">
        <f>IF(L120=0,0,K120/L120)</f>
        <v>2.3957446808510636</v>
      </c>
    </row>
    <row r="121" spans="1:13" s="71" customFormat="1" ht="12.75" customHeight="1" outlineLevel="1" x14ac:dyDescent="0.2">
      <c r="A121" s="169"/>
      <c r="B121" s="169"/>
      <c r="C121" s="169"/>
      <c r="D121" s="201" t="s">
        <v>147</v>
      </c>
      <c r="E121" s="171">
        <v>45580</v>
      </c>
      <c r="F121" s="183">
        <v>6.6250000000000003E-2</v>
      </c>
      <c r="G121" s="183">
        <v>7.0624999999999993E-2</v>
      </c>
      <c r="H121" s="183">
        <v>8.3750000000000005E-2</v>
      </c>
      <c r="I121" s="179">
        <v>7.1910199999999994E-2</v>
      </c>
      <c r="J121" s="179">
        <v>7.2812500000000002E-2</v>
      </c>
      <c r="K121" s="173">
        <v>1510500</v>
      </c>
      <c r="L121" s="192">
        <v>650000</v>
      </c>
      <c r="M121" s="193">
        <f t="shared" ref="M121:M123" si="12">IF(L121=0,0,K121/L121)</f>
        <v>2.3238461538461537</v>
      </c>
    </row>
    <row r="122" spans="1:13" s="71" customFormat="1" ht="12.75" customHeight="1" outlineLevel="1" x14ac:dyDescent="0.2">
      <c r="A122" s="169"/>
      <c r="B122" s="169"/>
      <c r="C122" s="169"/>
      <c r="D122" s="201" t="s">
        <v>53</v>
      </c>
      <c r="E122" s="171">
        <v>50086</v>
      </c>
      <c r="F122" s="183">
        <v>6.0999999999999999E-2</v>
      </c>
      <c r="G122" s="183">
        <v>8.6249999999999993E-2</v>
      </c>
      <c r="H122" s="183">
        <v>9.2499999999999999E-2</v>
      </c>
      <c r="I122" s="179">
        <v>8.68482E-2</v>
      </c>
      <c r="J122" s="179">
        <v>8.7187500000000001E-2</v>
      </c>
      <c r="K122" s="173">
        <v>1324000</v>
      </c>
      <c r="L122" s="192">
        <v>650000</v>
      </c>
      <c r="M122" s="193">
        <f t="shared" si="12"/>
        <v>2.0369230769230771</v>
      </c>
    </row>
    <row r="123" spans="1:13" s="71" customFormat="1" ht="12.75" customHeight="1" outlineLevel="1" x14ac:dyDescent="0.2">
      <c r="A123" s="169"/>
      <c r="B123" s="169"/>
      <c r="C123" s="169"/>
      <c r="D123" s="201" t="s">
        <v>148</v>
      </c>
      <c r="E123" s="171">
        <v>52336</v>
      </c>
      <c r="F123" s="183">
        <v>6.7500000000000004E-2</v>
      </c>
      <c r="G123" s="183">
        <v>8.7499999999999994E-2</v>
      </c>
      <c r="H123" s="183">
        <v>9.7500000000000003E-2</v>
      </c>
      <c r="I123" s="179">
        <v>8.89321E-2</v>
      </c>
      <c r="J123" s="179">
        <v>0.09</v>
      </c>
      <c r="K123" s="173">
        <v>1262500</v>
      </c>
      <c r="L123" s="192">
        <v>720000</v>
      </c>
      <c r="M123" s="193">
        <f t="shared" si="12"/>
        <v>1.7534722222222223</v>
      </c>
    </row>
    <row r="124" spans="1:13" s="206" customFormat="1" ht="12.75" customHeight="1" outlineLevel="1" x14ac:dyDescent="0.2">
      <c r="A124" s="477" t="s">
        <v>121</v>
      </c>
      <c r="B124" s="478"/>
      <c r="C124" s="478"/>
      <c r="D124" s="478"/>
      <c r="E124" s="478"/>
      <c r="F124" s="478"/>
      <c r="G124" s="478"/>
      <c r="H124" s="478"/>
      <c r="I124" s="478"/>
      <c r="J124" s="479"/>
      <c r="K124" s="220">
        <f>SUM(K118:K123)</f>
        <v>18005000</v>
      </c>
      <c r="L124" s="220">
        <f>SUM(L118:L123)</f>
        <v>6290000</v>
      </c>
      <c r="M124" s="220"/>
    </row>
    <row r="125" spans="1:13" s="206" customFormat="1" ht="12.75" customHeight="1" outlineLevel="1" x14ac:dyDescent="0.2">
      <c r="A125" s="171">
        <v>43927</v>
      </c>
      <c r="B125" s="171">
        <v>43936</v>
      </c>
      <c r="C125" s="174" t="s">
        <v>149</v>
      </c>
      <c r="D125" s="201" t="s">
        <v>182</v>
      </c>
      <c r="E125" s="171">
        <v>47771</v>
      </c>
      <c r="F125" s="183">
        <v>3.85E-2</v>
      </c>
      <c r="G125" s="183"/>
      <c r="H125" s="183"/>
      <c r="I125" s="179">
        <v>3.9E-2</v>
      </c>
      <c r="J125" s="179"/>
      <c r="K125" s="195" t="s">
        <v>185</v>
      </c>
      <c r="L125" s="195" t="str">
        <f t="shared" ref="L125:L130" si="13">K125</f>
        <v>USD1.650.000.000</v>
      </c>
      <c r="M125" s="193"/>
    </row>
    <row r="126" spans="1:13" s="71" customFormat="1" ht="12.75" customHeight="1" outlineLevel="1" x14ac:dyDescent="0.2">
      <c r="A126" s="169"/>
      <c r="B126" s="169"/>
      <c r="C126" s="174"/>
      <c r="D126" s="201"/>
      <c r="E126" s="171"/>
      <c r="F126" s="183"/>
      <c r="G126" s="183"/>
      <c r="H126" s="183"/>
      <c r="I126" s="179"/>
      <c r="J126" s="179"/>
      <c r="K126" s="192">
        <f>15707*1650000000/1000000</f>
        <v>25916550</v>
      </c>
      <c r="L126" s="192">
        <f t="shared" si="13"/>
        <v>25916550</v>
      </c>
      <c r="M126" s="193"/>
    </row>
    <row r="127" spans="1:13" s="71" customFormat="1" ht="12.75" customHeight="1" outlineLevel="1" x14ac:dyDescent="0.2">
      <c r="A127" s="169"/>
      <c r="B127" s="171">
        <v>43936</v>
      </c>
      <c r="C127" s="174"/>
      <c r="D127" s="201" t="s">
        <v>183</v>
      </c>
      <c r="E127" s="171">
        <v>55076</v>
      </c>
      <c r="F127" s="183">
        <v>4.2000000000000003E-2</v>
      </c>
      <c r="G127" s="183"/>
      <c r="H127" s="183"/>
      <c r="I127" s="179">
        <v>4.2500000000000003E-2</v>
      </c>
      <c r="J127" s="179"/>
      <c r="K127" s="195" t="s">
        <v>185</v>
      </c>
      <c r="L127" s="195" t="str">
        <f t="shared" si="13"/>
        <v>USD1.650.000.000</v>
      </c>
      <c r="M127" s="193"/>
    </row>
    <row r="128" spans="1:13" s="71" customFormat="1" ht="12.75" customHeight="1" outlineLevel="1" x14ac:dyDescent="0.2">
      <c r="A128" s="169"/>
      <c r="B128" s="169"/>
      <c r="C128" s="174"/>
      <c r="D128" s="201"/>
      <c r="E128" s="171"/>
      <c r="F128" s="183"/>
      <c r="G128" s="183"/>
      <c r="H128" s="183"/>
      <c r="I128" s="179"/>
      <c r="J128" s="179"/>
      <c r="K128" s="192">
        <f>15707*1650000000/1000000</f>
        <v>25916550</v>
      </c>
      <c r="L128" s="192">
        <f t="shared" si="13"/>
        <v>25916550</v>
      </c>
      <c r="M128" s="193"/>
    </row>
    <row r="129" spans="1:13" s="71" customFormat="1" ht="12.75" customHeight="1" outlineLevel="1" x14ac:dyDescent="0.2">
      <c r="A129" s="169"/>
      <c r="B129" s="171">
        <v>43936</v>
      </c>
      <c r="C129" s="174"/>
      <c r="D129" s="201" t="s">
        <v>184</v>
      </c>
      <c r="E129" s="171">
        <v>62198</v>
      </c>
      <c r="F129" s="183">
        <v>4.4499999999999998E-2</v>
      </c>
      <c r="G129" s="183"/>
      <c r="H129" s="183"/>
      <c r="I129" s="179">
        <v>4.4999999999999998E-2</v>
      </c>
      <c r="J129" s="179"/>
      <c r="K129" s="195" t="s">
        <v>117</v>
      </c>
      <c r="L129" s="195" t="str">
        <f t="shared" si="13"/>
        <v>USD1.000.000.000</v>
      </c>
      <c r="M129" s="193"/>
    </row>
    <row r="130" spans="1:13" s="71" customFormat="1" ht="12.75" customHeight="1" outlineLevel="1" x14ac:dyDescent="0.2">
      <c r="A130" s="169"/>
      <c r="B130" s="169"/>
      <c r="C130" s="174"/>
      <c r="D130" s="201"/>
      <c r="E130" s="171"/>
      <c r="F130" s="183"/>
      <c r="G130" s="183"/>
      <c r="H130" s="183"/>
      <c r="I130" s="179"/>
      <c r="J130" s="179"/>
      <c r="K130" s="192">
        <f>15707*1000000000/1000000</f>
        <v>15707000</v>
      </c>
      <c r="L130" s="192">
        <f t="shared" si="13"/>
        <v>15707000</v>
      </c>
      <c r="M130" s="193"/>
    </row>
    <row r="131" spans="1:13" s="71" customFormat="1" ht="12.75" customHeight="1" outlineLevel="1" x14ac:dyDescent="0.2">
      <c r="A131" s="477" t="s">
        <v>121</v>
      </c>
      <c r="B131" s="478"/>
      <c r="C131" s="478"/>
      <c r="D131" s="478"/>
      <c r="E131" s="478"/>
      <c r="F131" s="478"/>
      <c r="G131" s="478"/>
      <c r="H131" s="478"/>
      <c r="I131" s="478"/>
      <c r="J131" s="479"/>
      <c r="K131" s="220">
        <f>SUM(K126,K128,K130)</f>
        <v>67540100</v>
      </c>
      <c r="L131" s="220">
        <f>SUM(L126,L128,L130)</f>
        <v>67540100</v>
      </c>
      <c r="M131" s="204"/>
    </row>
    <row r="132" spans="1:13" s="249" customFormat="1" ht="12.75" customHeight="1" outlineLevel="1" x14ac:dyDescent="0.2">
      <c r="A132" s="240">
        <v>43935</v>
      </c>
      <c r="B132" s="240">
        <v>43937</v>
      </c>
      <c r="C132" s="241" t="s">
        <v>145</v>
      </c>
      <c r="D132" s="242" t="s">
        <v>181</v>
      </c>
      <c r="E132" s="243">
        <v>44027</v>
      </c>
      <c r="F132" s="244" t="s">
        <v>128</v>
      </c>
      <c r="G132" s="245">
        <v>2.5000000000000001E-2</v>
      </c>
      <c r="H132" s="245">
        <v>2.5999999999999999E-2</v>
      </c>
      <c r="I132" s="246">
        <v>2.5605300000000001E-2</v>
      </c>
      <c r="J132" s="246">
        <v>2.5999999999999999E-2</v>
      </c>
      <c r="K132" s="247">
        <v>2190000</v>
      </c>
      <c r="L132" s="247">
        <v>380000</v>
      </c>
      <c r="M132" s="248">
        <f t="shared" ref="M132:M138" si="14">IF(L132=0,0,K132/L132)</f>
        <v>5.7631578947368425</v>
      </c>
    </row>
    <row r="133" spans="1:13" s="253" customFormat="1" ht="12.75" customHeight="1" outlineLevel="1" x14ac:dyDescent="0.2">
      <c r="A133" s="250"/>
      <c r="B133" s="250"/>
      <c r="C133" s="251"/>
      <c r="D133" s="242" t="s">
        <v>175</v>
      </c>
      <c r="E133" s="243">
        <v>44287</v>
      </c>
      <c r="F133" s="244" t="s">
        <v>128</v>
      </c>
      <c r="G133" s="245">
        <v>3.5000000000000003E-2</v>
      </c>
      <c r="H133" s="245">
        <v>3.5999999999999997E-2</v>
      </c>
      <c r="I133" s="246">
        <v>3.5666700000000003E-2</v>
      </c>
      <c r="J133" s="246">
        <v>3.5999999999999997E-2</v>
      </c>
      <c r="K133" s="252">
        <v>3200000</v>
      </c>
      <c r="L133" s="252">
        <v>300000</v>
      </c>
      <c r="M133" s="248">
        <f t="shared" si="14"/>
        <v>10.666666666666666</v>
      </c>
    </row>
    <row r="134" spans="1:13" s="253" customFormat="1" ht="12.75" customHeight="1" outlineLevel="1" x14ac:dyDescent="0.2">
      <c r="A134" s="250"/>
      <c r="B134" s="250"/>
      <c r="C134" s="251"/>
      <c r="D134" s="242" t="s">
        <v>137</v>
      </c>
      <c r="E134" s="309">
        <v>45823</v>
      </c>
      <c r="F134" s="254">
        <v>6.5000000000000002E-2</v>
      </c>
      <c r="G134" s="245">
        <v>7.4399999999999994E-2</v>
      </c>
      <c r="H134" s="245">
        <v>7.85E-2</v>
      </c>
      <c r="I134" s="246">
        <v>7.5435699999999994E-2</v>
      </c>
      <c r="J134" s="246">
        <v>7.5899999999999995E-2</v>
      </c>
      <c r="K134" s="252">
        <v>5948800</v>
      </c>
      <c r="L134" s="252">
        <v>4150000</v>
      </c>
      <c r="M134" s="248">
        <f t="shared" si="14"/>
        <v>1.43344578313253</v>
      </c>
    </row>
    <row r="135" spans="1:13" s="253" customFormat="1" ht="12.75" customHeight="1" outlineLevel="1" x14ac:dyDescent="0.2">
      <c r="A135" s="250"/>
      <c r="B135" s="250"/>
      <c r="C135" s="251"/>
      <c r="D135" s="242" t="s">
        <v>138</v>
      </c>
      <c r="E135" s="309">
        <v>47741</v>
      </c>
      <c r="F135" s="254">
        <v>7.0000000000000007E-2</v>
      </c>
      <c r="G135" s="245">
        <v>7.8899999999999998E-2</v>
      </c>
      <c r="H135" s="245">
        <v>8.2500000000000004E-2</v>
      </c>
      <c r="I135" s="246">
        <v>7.96153E-2</v>
      </c>
      <c r="J135" s="246">
        <v>0.08</v>
      </c>
      <c r="K135" s="252">
        <v>9512100</v>
      </c>
      <c r="L135" s="252">
        <v>8000000</v>
      </c>
      <c r="M135" s="248">
        <f t="shared" si="14"/>
        <v>1.1890125</v>
      </c>
    </row>
    <row r="136" spans="1:13" s="253" customFormat="1" ht="12.75" customHeight="1" outlineLevel="1" x14ac:dyDescent="0.2">
      <c r="A136" s="250"/>
      <c r="B136" s="250"/>
      <c r="C136" s="251"/>
      <c r="D136" s="242" t="s">
        <v>136</v>
      </c>
      <c r="E136" s="309">
        <v>49475</v>
      </c>
      <c r="F136" s="254">
        <v>7.4999999999999997E-2</v>
      </c>
      <c r="G136" s="245">
        <v>8.1500000000000003E-2</v>
      </c>
      <c r="H136" s="245">
        <v>8.7499999999999994E-2</v>
      </c>
      <c r="I136" s="246">
        <v>8.2114900000000005E-2</v>
      </c>
      <c r="J136" s="246">
        <v>8.2500000000000004E-2</v>
      </c>
      <c r="K136" s="252">
        <v>4065400</v>
      </c>
      <c r="L136" s="252">
        <v>2000000</v>
      </c>
      <c r="M136" s="248">
        <f t="shared" si="14"/>
        <v>2.0327000000000002</v>
      </c>
    </row>
    <row r="137" spans="1:13" s="253" customFormat="1" ht="12.75" customHeight="1" outlineLevel="1" x14ac:dyDescent="0.2">
      <c r="A137" s="250"/>
      <c r="B137" s="250"/>
      <c r="C137" s="251"/>
      <c r="D137" s="242" t="s">
        <v>144</v>
      </c>
      <c r="E137" s="309">
        <v>51241</v>
      </c>
      <c r="F137" s="254">
        <v>7.4999999999999997E-2</v>
      </c>
      <c r="G137" s="245">
        <v>8.2000000000000003E-2</v>
      </c>
      <c r="H137" s="245">
        <v>8.4000000000000005E-2</v>
      </c>
      <c r="I137" s="246">
        <v>8.3195400000000003E-2</v>
      </c>
      <c r="J137" s="246">
        <v>8.3500000000000005E-2</v>
      </c>
      <c r="K137" s="252">
        <v>1950900</v>
      </c>
      <c r="L137" s="252">
        <v>1600000</v>
      </c>
      <c r="M137" s="248">
        <f t="shared" si="14"/>
        <v>1.2193125</v>
      </c>
    </row>
    <row r="138" spans="1:13" s="249" customFormat="1" ht="12.75" customHeight="1" outlineLevel="1" x14ac:dyDescent="0.2">
      <c r="A138" s="250"/>
      <c r="B138" s="250"/>
      <c r="C138" s="250"/>
      <c r="D138" s="255" t="s">
        <v>134</v>
      </c>
      <c r="E138" s="307">
        <v>54193</v>
      </c>
      <c r="F138" s="254">
        <v>7.3749999999999996E-2</v>
      </c>
      <c r="G138" s="256">
        <v>8.3299999999999999E-2</v>
      </c>
      <c r="H138" s="254">
        <v>0.09</v>
      </c>
      <c r="I138" s="246">
        <v>8.4200300000000006E-2</v>
      </c>
      <c r="J138" s="256">
        <v>8.4500000000000006E-2</v>
      </c>
      <c r="K138" s="252">
        <v>786000</v>
      </c>
      <c r="L138" s="252">
        <v>450000</v>
      </c>
      <c r="M138" s="248">
        <f t="shared" si="14"/>
        <v>1.7466666666666666</v>
      </c>
    </row>
    <row r="139" spans="1:13" s="249" customFormat="1" ht="12.75" customHeight="1" outlineLevel="1" x14ac:dyDescent="0.2">
      <c r="A139" s="483" t="s">
        <v>121</v>
      </c>
      <c r="B139" s="484"/>
      <c r="C139" s="484"/>
      <c r="D139" s="484"/>
      <c r="E139" s="484"/>
      <c r="F139" s="484"/>
      <c r="G139" s="484"/>
      <c r="H139" s="484"/>
      <c r="I139" s="484"/>
      <c r="J139" s="485"/>
      <c r="K139" s="257">
        <f>SUM(K132:K138)</f>
        <v>27653200</v>
      </c>
      <c r="L139" s="257">
        <f>SUM(L132:L138)</f>
        <v>16880000</v>
      </c>
      <c r="M139" s="257"/>
    </row>
    <row r="140" spans="1:13" s="71" customFormat="1" ht="12.75" customHeight="1" outlineLevel="1" x14ac:dyDescent="0.2">
      <c r="A140" s="171">
        <v>43942</v>
      </c>
      <c r="B140" s="171">
        <v>43944</v>
      </c>
      <c r="C140" s="174" t="s">
        <v>145</v>
      </c>
      <c r="D140" s="201" t="s">
        <v>179</v>
      </c>
      <c r="E140" s="171">
        <v>44112</v>
      </c>
      <c r="F140" s="183" t="s">
        <v>128</v>
      </c>
      <c r="G140" s="183">
        <v>0.05</v>
      </c>
      <c r="H140" s="183">
        <v>0.05</v>
      </c>
      <c r="I140" s="226" t="s">
        <v>130</v>
      </c>
      <c r="J140" s="258" t="s">
        <v>130</v>
      </c>
      <c r="K140" s="195">
        <v>151000</v>
      </c>
      <c r="L140" s="195" t="s">
        <v>130</v>
      </c>
      <c r="M140" s="227" t="s">
        <v>130</v>
      </c>
    </row>
    <row r="141" spans="1:13" s="71" customFormat="1" ht="12.75" customHeight="1" outlineLevel="1" x14ac:dyDescent="0.2">
      <c r="A141" s="171"/>
      <c r="B141" s="171"/>
      <c r="C141" s="174"/>
      <c r="D141" s="201" t="s">
        <v>180</v>
      </c>
      <c r="E141" s="171">
        <v>44204</v>
      </c>
      <c r="F141" s="183" t="s">
        <v>128</v>
      </c>
      <c r="G141" s="183">
        <v>3.2500000000000001E-2</v>
      </c>
      <c r="H141" s="183">
        <v>3.2500000000000001E-2</v>
      </c>
      <c r="I141" s="179">
        <v>3.2500000000000001E-2</v>
      </c>
      <c r="J141" s="179">
        <v>3.2500000000000001E-2</v>
      </c>
      <c r="K141" s="195">
        <v>20000</v>
      </c>
      <c r="L141" s="195">
        <v>20000</v>
      </c>
      <c r="M141" s="193">
        <f>IF(L141=0,0,K141/L141)</f>
        <v>1</v>
      </c>
    </row>
    <row r="142" spans="1:13" s="71" customFormat="1" ht="12.75" customHeight="1" outlineLevel="1" x14ac:dyDescent="0.2">
      <c r="A142" s="169"/>
      <c r="B142" s="169"/>
      <c r="C142" s="169"/>
      <c r="D142" s="201" t="s">
        <v>49</v>
      </c>
      <c r="E142" s="171">
        <v>44576</v>
      </c>
      <c r="F142" s="183">
        <v>5.45E-2</v>
      </c>
      <c r="G142" s="183">
        <v>5.7500000000000002E-2</v>
      </c>
      <c r="H142" s="183">
        <v>6.5000000000000002E-2</v>
      </c>
      <c r="I142" s="226">
        <v>5.8829399999999997E-2</v>
      </c>
      <c r="J142" s="179">
        <v>5.9374999999999997E-2</v>
      </c>
      <c r="K142" s="195">
        <v>4165000</v>
      </c>
      <c r="L142" s="195">
        <v>2520000</v>
      </c>
      <c r="M142" s="193">
        <f>IF(L142=0,0,K142/L142)</f>
        <v>1.6527777777777777</v>
      </c>
    </row>
    <row r="143" spans="1:13" s="71" customFormat="1" ht="12.75" customHeight="1" outlineLevel="1" x14ac:dyDescent="0.2">
      <c r="A143" s="169"/>
      <c r="B143" s="169"/>
      <c r="C143" s="169"/>
      <c r="D143" s="201" t="s">
        <v>147</v>
      </c>
      <c r="E143" s="171">
        <v>45580</v>
      </c>
      <c r="F143" s="183">
        <v>6.6250000000000003E-2</v>
      </c>
      <c r="G143" s="183">
        <v>6.6250000000000003E-2</v>
      </c>
      <c r="H143" s="183">
        <v>7.2812500000000002E-2</v>
      </c>
      <c r="I143" s="179">
        <v>7.1667900000000007E-2</v>
      </c>
      <c r="J143" s="226">
        <v>7.2499999999999995E-2</v>
      </c>
      <c r="K143" s="173">
        <v>3033000</v>
      </c>
      <c r="L143" s="192">
        <v>1800000</v>
      </c>
      <c r="M143" s="193">
        <f t="shared" ref="M143:M145" si="15">IF(L143=0,0,K143/L143)</f>
        <v>1.6850000000000001</v>
      </c>
    </row>
    <row r="144" spans="1:13" s="71" customFormat="1" ht="12.75" customHeight="1" outlineLevel="1" x14ac:dyDescent="0.2">
      <c r="A144" s="169"/>
      <c r="B144" s="169"/>
      <c r="C144" s="169"/>
      <c r="D144" s="201" t="s">
        <v>53</v>
      </c>
      <c r="E144" s="171">
        <v>50086</v>
      </c>
      <c r="F144" s="183">
        <v>6.0999999999999999E-2</v>
      </c>
      <c r="G144" s="183">
        <v>8.4375000000000006E-2</v>
      </c>
      <c r="H144" s="183">
        <v>0.09</v>
      </c>
      <c r="I144" s="179">
        <v>8.5056999999999994E-2</v>
      </c>
      <c r="J144" s="179">
        <v>8.5625000000000007E-2</v>
      </c>
      <c r="K144" s="173">
        <v>7023000</v>
      </c>
      <c r="L144" s="192">
        <v>4400000</v>
      </c>
      <c r="M144" s="193">
        <f t="shared" si="15"/>
        <v>1.5961363636363637</v>
      </c>
    </row>
    <row r="145" spans="1:13" s="71" customFormat="1" ht="12.75" customHeight="1" outlineLevel="1" x14ac:dyDescent="0.2">
      <c r="A145" s="169"/>
      <c r="B145" s="169"/>
      <c r="C145" s="169"/>
      <c r="D145" s="201" t="s">
        <v>148</v>
      </c>
      <c r="E145" s="171">
        <v>52336</v>
      </c>
      <c r="F145" s="183">
        <v>6.7500000000000004E-2</v>
      </c>
      <c r="G145" s="183">
        <v>8.6249999999999993E-2</v>
      </c>
      <c r="H145" s="183">
        <v>9.2499999999999999E-2</v>
      </c>
      <c r="I145" s="179">
        <v>8.7028700000000001E-2</v>
      </c>
      <c r="J145" s="179">
        <v>8.7182499999999996E-2</v>
      </c>
      <c r="K145" s="173">
        <v>4447500</v>
      </c>
      <c r="L145" s="192">
        <v>1240000</v>
      </c>
      <c r="M145" s="193">
        <f t="shared" si="15"/>
        <v>3.586693548387097</v>
      </c>
    </row>
    <row r="146" spans="1:13" s="206" customFormat="1" ht="12.75" customHeight="1" outlineLevel="1" x14ac:dyDescent="0.2">
      <c r="A146" s="477" t="s">
        <v>121</v>
      </c>
      <c r="B146" s="478"/>
      <c r="C146" s="478"/>
      <c r="D146" s="478"/>
      <c r="E146" s="478"/>
      <c r="F146" s="478"/>
      <c r="G146" s="478"/>
      <c r="H146" s="478"/>
      <c r="I146" s="478"/>
      <c r="J146" s="479"/>
      <c r="K146" s="220">
        <f>SUM(K140:K145)</f>
        <v>18839500</v>
      </c>
      <c r="L146" s="220">
        <f>SUM(L140:L145)</f>
        <v>9980000</v>
      </c>
      <c r="M146" s="220"/>
    </row>
    <row r="147" spans="1:13" s="71" customFormat="1" ht="12.75" customHeight="1" outlineLevel="1" x14ac:dyDescent="0.2">
      <c r="A147" s="171">
        <v>43943</v>
      </c>
      <c r="B147" s="171">
        <v>43944</v>
      </c>
      <c r="C147" s="174" t="s">
        <v>188</v>
      </c>
      <c r="D147" s="201" t="s">
        <v>49</v>
      </c>
      <c r="E147" s="171">
        <v>44576</v>
      </c>
      <c r="F147" s="183">
        <v>5.45E-2</v>
      </c>
      <c r="G147" s="225" t="s">
        <v>130</v>
      </c>
      <c r="H147" s="225" t="s">
        <v>130</v>
      </c>
      <c r="I147" s="226" t="s">
        <v>130</v>
      </c>
      <c r="J147" s="262" t="s">
        <v>130</v>
      </c>
      <c r="K147" s="195">
        <v>2100000</v>
      </c>
      <c r="L147" s="195">
        <v>1470000</v>
      </c>
      <c r="M147" s="193">
        <f>IF(L147=0,0,K147/L147)</f>
        <v>1.4285714285714286</v>
      </c>
    </row>
    <row r="148" spans="1:13" s="71" customFormat="1" ht="12.75" customHeight="1" outlineLevel="1" x14ac:dyDescent="0.2">
      <c r="A148" s="171"/>
      <c r="B148" s="171"/>
      <c r="C148" s="174"/>
      <c r="D148" s="201" t="s">
        <v>147</v>
      </c>
      <c r="E148" s="171">
        <v>45580</v>
      </c>
      <c r="F148" s="183">
        <v>6.6250000000000003E-2</v>
      </c>
      <c r="G148" s="225" t="s">
        <v>130</v>
      </c>
      <c r="H148" s="225" t="s">
        <v>130</v>
      </c>
      <c r="I148" s="226" t="s">
        <v>130</v>
      </c>
      <c r="J148" s="262" t="s">
        <v>130</v>
      </c>
      <c r="K148" s="195">
        <v>2180000</v>
      </c>
      <c r="L148" s="195">
        <v>500000</v>
      </c>
      <c r="M148" s="193">
        <f>IF(L148=0,0,K148/L148)</f>
        <v>4.3600000000000003</v>
      </c>
    </row>
    <row r="149" spans="1:13" s="71" customFormat="1" ht="12.75" customHeight="1" outlineLevel="1" x14ac:dyDescent="0.2">
      <c r="A149" s="169"/>
      <c r="B149" s="169"/>
      <c r="C149" s="169"/>
      <c r="D149" s="201" t="s">
        <v>53</v>
      </c>
      <c r="E149" s="171">
        <v>50086</v>
      </c>
      <c r="F149" s="183">
        <v>6.0999999999999999E-2</v>
      </c>
      <c r="G149" s="225" t="s">
        <v>130</v>
      </c>
      <c r="H149" s="225" t="s">
        <v>130</v>
      </c>
      <c r="I149" s="226" t="s">
        <v>130</v>
      </c>
      <c r="J149" s="262" t="s">
        <v>130</v>
      </c>
      <c r="K149" s="195">
        <v>1050000</v>
      </c>
      <c r="L149" s="195">
        <v>1050000</v>
      </c>
      <c r="M149" s="193">
        <f>IF(L149=0,0,K149/L149)</f>
        <v>1</v>
      </c>
    </row>
    <row r="150" spans="1:13" s="71" customFormat="1" ht="12.75" customHeight="1" outlineLevel="1" x14ac:dyDescent="0.2">
      <c r="A150" s="169"/>
      <c r="B150" s="169"/>
      <c r="C150" s="169"/>
      <c r="D150" s="71" t="s">
        <v>148</v>
      </c>
      <c r="E150" s="171">
        <v>52336</v>
      </c>
      <c r="F150" s="183">
        <v>6.7500000000000004E-2</v>
      </c>
      <c r="G150" s="225" t="s">
        <v>130</v>
      </c>
      <c r="H150" s="225" t="s">
        <v>130</v>
      </c>
      <c r="I150" s="226" t="s">
        <v>130</v>
      </c>
      <c r="J150" s="262" t="s">
        <v>130</v>
      </c>
      <c r="K150" s="173">
        <v>1000000</v>
      </c>
      <c r="L150" s="192">
        <v>1000000</v>
      </c>
      <c r="M150" s="193">
        <f t="shared" ref="M150" si="16">IF(L150=0,0,K150/L150)</f>
        <v>1</v>
      </c>
    </row>
    <row r="151" spans="1:13" s="71" customFormat="1" ht="12.75" customHeight="1" outlineLevel="1" x14ac:dyDescent="0.2">
      <c r="A151" s="483" t="s">
        <v>17</v>
      </c>
      <c r="B151" s="484"/>
      <c r="C151" s="484"/>
      <c r="D151" s="484"/>
      <c r="E151" s="484"/>
      <c r="F151" s="484"/>
      <c r="G151" s="484"/>
      <c r="H151" s="484"/>
      <c r="I151" s="484"/>
      <c r="J151" s="485"/>
      <c r="K151" s="259">
        <f>SUM(K147:K150)</f>
        <v>6330000</v>
      </c>
      <c r="L151" s="220">
        <f>SUM(L147:L150)</f>
        <v>4020000</v>
      </c>
      <c r="M151" s="220"/>
    </row>
    <row r="152" spans="1:13" s="249" customFormat="1" ht="12.75" customHeight="1" outlineLevel="1" x14ac:dyDescent="0.2">
      <c r="A152" s="240">
        <v>43949</v>
      </c>
      <c r="B152" s="240">
        <v>43951</v>
      </c>
      <c r="C152" s="241" t="s">
        <v>145</v>
      </c>
      <c r="D152" s="242" t="s">
        <v>186</v>
      </c>
      <c r="E152" s="243">
        <v>44041</v>
      </c>
      <c r="F152" s="244" t="s">
        <v>128</v>
      </c>
      <c r="G152" s="245">
        <v>3.5000000000000003E-2</v>
      </c>
      <c r="H152" s="245">
        <v>3.5000000000000003E-2</v>
      </c>
      <c r="I152" s="246">
        <v>3.5000000000000003E-2</v>
      </c>
      <c r="J152" s="246">
        <v>3.5000000000000003E-2</v>
      </c>
      <c r="K152" s="247">
        <v>250000</v>
      </c>
      <c r="L152" s="247">
        <v>200000</v>
      </c>
      <c r="M152" s="248">
        <f t="shared" ref="M152:M158" si="17">IF(L152=0,0,K152/L152)</f>
        <v>1.25</v>
      </c>
    </row>
    <row r="153" spans="1:13" s="253" customFormat="1" ht="12.75" customHeight="1" outlineLevel="1" x14ac:dyDescent="0.2">
      <c r="A153" s="250"/>
      <c r="B153" s="250"/>
      <c r="C153" s="251"/>
      <c r="D153" s="242" t="s">
        <v>187</v>
      </c>
      <c r="E153" s="243">
        <v>44315</v>
      </c>
      <c r="F153" s="244" t="s">
        <v>128</v>
      </c>
      <c r="G153" s="245">
        <v>3.5400000000000001E-2</v>
      </c>
      <c r="H153" s="245">
        <v>0.04</v>
      </c>
      <c r="I153" s="246">
        <v>3.5400000000000001E-2</v>
      </c>
      <c r="J153" s="246">
        <v>3.5400000000000001E-2</v>
      </c>
      <c r="K153" s="252">
        <v>260000</v>
      </c>
      <c r="L153" s="252">
        <v>120000</v>
      </c>
      <c r="M153" s="248">
        <f t="shared" si="17"/>
        <v>2.1666666666666665</v>
      </c>
    </row>
    <row r="154" spans="1:13" s="253" customFormat="1" ht="12.75" customHeight="1" outlineLevel="1" x14ac:dyDescent="0.2">
      <c r="A154" s="250"/>
      <c r="B154" s="250"/>
      <c r="C154" s="251"/>
      <c r="D154" s="242" t="s">
        <v>137</v>
      </c>
      <c r="E154" s="309">
        <v>45823</v>
      </c>
      <c r="F154" s="254">
        <v>6.5000000000000002E-2</v>
      </c>
      <c r="G154" s="245">
        <v>7.4399999999999994E-2</v>
      </c>
      <c r="H154" s="245">
        <v>8.5000000000000006E-2</v>
      </c>
      <c r="I154" s="246">
        <v>7.5699900000000001E-2</v>
      </c>
      <c r="J154" s="246">
        <v>7.6300000000000007E-2</v>
      </c>
      <c r="K154" s="252">
        <v>17075500</v>
      </c>
      <c r="L154" s="252">
        <v>9000000</v>
      </c>
      <c r="M154" s="248">
        <f t="shared" si="17"/>
        <v>1.8972777777777778</v>
      </c>
    </row>
    <row r="155" spans="1:13" s="253" customFormat="1" ht="12.75" customHeight="1" outlineLevel="1" x14ac:dyDescent="0.2">
      <c r="A155" s="250"/>
      <c r="B155" s="250"/>
      <c r="C155" s="251"/>
      <c r="D155" s="242" t="s">
        <v>138</v>
      </c>
      <c r="E155" s="309">
        <v>47741</v>
      </c>
      <c r="F155" s="254">
        <v>7.0000000000000007E-2</v>
      </c>
      <c r="G155" s="245">
        <v>0.08</v>
      </c>
      <c r="H155" s="245">
        <v>0.09</v>
      </c>
      <c r="I155" s="246">
        <v>8.0860699999999994E-2</v>
      </c>
      <c r="J155" s="246">
        <v>8.1199999999999994E-2</v>
      </c>
      <c r="K155" s="252">
        <v>12431000</v>
      </c>
      <c r="L155" s="252">
        <v>5200000</v>
      </c>
      <c r="M155" s="248">
        <f t="shared" si="17"/>
        <v>2.3905769230769232</v>
      </c>
    </row>
    <row r="156" spans="1:13" s="253" customFormat="1" ht="12.75" customHeight="1" outlineLevel="1" x14ac:dyDescent="0.2">
      <c r="A156" s="250"/>
      <c r="B156" s="250"/>
      <c r="C156" s="251"/>
      <c r="D156" s="242" t="s">
        <v>136</v>
      </c>
      <c r="E156" s="309">
        <v>49475</v>
      </c>
      <c r="F156" s="254">
        <v>7.4999999999999997E-2</v>
      </c>
      <c r="G156" s="245">
        <v>7.9799999999999996E-2</v>
      </c>
      <c r="H156" s="245">
        <v>0.09</v>
      </c>
      <c r="I156" s="246">
        <v>8.1257599999999999E-2</v>
      </c>
      <c r="J156" s="246">
        <v>8.1600000000000006E-2</v>
      </c>
      <c r="K156" s="252">
        <v>5492900</v>
      </c>
      <c r="L156" s="252">
        <v>700000</v>
      </c>
      <c r="M156" s="248">
        <f t="shared" si="17"/>
        <v>7.8470000000000004</v>
      </c>
    </row>
    <row r="157" spans="1:13" s="253" customFormat="1" ht="12.75" customHeight="1" outlineLevel="1" x14ac:dyDescent="0.2">
      <c r="A157" s="250"/>
      <c r="B157" s="250"/>
      <c r="C157" s="251"/>
      <c r="D157" s="242" t="s">
        <v>144</v>
      </c>
      <c r="E157" s="309">
        <v>51241</v>
      </c>
      <c r="F157" s="254">
        <v>7.4999999999999997E-2</v>
      </c>
      <c r="G157" s="245">
        <v>8.0199999999999994E-2</v>
      </c>
      <c r="H157" s="245">
        <v>9.5000000000000001E-2</v>
      </c>
      <c r="I157" s="246">
        <v>8.1647899999999995E-2</v>
      </c>
      <c r="J157" s="246">
        <v>8.2199999999999995E-2</v>
      </c>
      <c r="K157" s="252">
        <v>6229800</v>
      </c>
      <c r="L157" s="252">
        <v>1100000</v>
      </c>
      <c r="M157" s="248">
        <f t="shared" si="17"/>
        <v>5.6634545454545453</v>
      </c>
    </row>
    <row r="158" spans="1:13" s="249" customFormat="1" ht="12.75" customHeight="1" outlineLevel="1" x14ac:dyDescent="0.2">
      <c r="A158" s="250"/>
      <c r="B158" s="250"/>
      <c r="C158" s="250"/>
      <c r="D158" s="255" t="s">
        <v>134</v>
      </c>
      <c r="E158" s="307">
        <v>54193</v>
      </c>
      <c r="F158" s="254">
        <v>7.3749999999999996E-2</v>
      </c>
      <c r="G158" s="256">
        <v>7.9699999999999993E-2</v>
      </c>
      <c r="H158" s="254">
        <v>8.6999999999999994E-2</v>
      </c>
      <c r="I158" s="246">
        <v>8.2410399999999995E-2</v>
      </c>
      <c r="J158" s="256">
        <v>8.3000000000000004E-2</v>
      </c>
      <c r="K158" s="252">
        <v>2659800</v>
      </c>
      <c r="L158" s="252">
        <v>300000</v>
      </c>
      <c r="M158" s="248">
        <f t="shared" si="17"/>
        <v>8.8659999999999997</v>
      </c>
    </row>
    <row r="159" spans="1:13" s="249" customFormat="1" ht="12.75" customHeight="1" outlineLevel="1" x14ac:dyDescent="0.2">
      <c r="A159" s="483" t="s">
        <v>121</v>
      </c>
      <c r="B159" s="484"/>
      <c r="C159" s="484"/>
      <c r="D159" s="484"/>
      <c r="E159" s="484"/>
      <c r="F159" s="484"/>
      <c r="G159" s="484"/>
      <c r="H159" s="484"/>
      <c r="I159" s="484"/>
      <c r="J159" s="485"/>
      <c r="K159" s="257">
        <f>SUM(K152:K158)</f>
        <v>44399000</v>
      </c>
      <c r="L159" s="257">
        <f>SUM(L152:L158)</f>
        <v>16620000</v>
      </c>
      <c r="M159" s="257"/>
    </row>
    <row r="160" spans="1:13" s="253" customFormat="1" ht="12.75" customHeight="1" outlineLevel="1" x14ac:dyDescent="0.2">
      <c r="A160" s="240">
        <v>43950</v>
      </c>
      <c r="B160" s="240">
        <v>43951</v>
      </c>
      <c r="C160" s="241" t="s">
        <v>188</v>
      </c>
      <c r="D160" s="242" t="s">
        <v>137</v>
      </c>
      <c r="E160" s="309">
        <v>45823</v>
      </c>
      <c r="F160" s="254">
        <v>6.5000000000000002E-2</v>
      </c>
      <c r="G160" s="260" t="s">
        <v>130</v>
      </c>
      <c r="H160" s="260" t="s">
        <v>130</v>
      </c>
      <c r="I160" s="246">
        <v>7.5699900000000001E-2</v>
      </c>
      <c r="J160" s="260" t="s">
        <v>130</v>
      </c>
      <c r="K160" s="252">
        <v>4871000</v>
      </c>
      <c r="L160" s="252">
        <v>2889400</v>
      </c>
      <c r="M160" s="248">
        <f t="shared" ref="M160:M164" si="18">IF(L160=0,0,K160/L160)</f>
        <v>1.6858171246625597</v>
      </c>
    </row>
    <row r="161" spans="1:13" s="253" customFormat="1" ht="12.75" customHeight="1" outlineLevel="1" x14ac:dyDescent="0.2">
      <c r="A161" s="250"/>
      <c r="B161" s="250"/>
      <c r="C161" s="251"/>
      <c r="D161" s="242" t="s">
        <v>138</v>
      </c>
      <c r="E161" s="309">
        <v>47741</v>
      </c>
      <c r="F161" s="254">
        <v>7.0000000000000007E-2</v>
      </c>
      <c r="G161" s="260" t="s">
        <v>130</v>
      </c>
      <c r="H161" s="260" t="s">
        <v>130</v>
      </c>
      <c r="I161" s="246">
        <v>8.0860699999999994E-2</v>
      </c>
      <c r="J161" s="260" t="s">
        <v>130</v>
      </c>
      <c r="K161" s="252">
        <v>1554000</v>
      </c>
      <c r="L161" s="252">
        <v>921800</v>
      </c>
      <c r="M161" s="248">
        <f t="shared" si="18"/>
        <v>1.6858320676936429</v>
      </c>
    </row>
    <row r="162" spans="1:13" s="253" customFormat="1" ht="12.75" customHeight="1" outlineLevel="1" x14ac:dyDescent="0.2">
      <c r="A162" s="250"/>
      <c r="B162" s="250"/>
      <c r="C162" s="251"/>
      <c r="D162" s="242" t="s">
        <v>136</v>
      </c>
      <c r="E162" s="309">
        <v>49475</v>
      </c>
      <c r="F162" s="254">
        <v>7.4999999999999997E-2</v>
      </c>
      <c r="G162" s="260" t="s">
        <v>130</v>
      </c>
      <c r="H162" s="260" t="s">
        <v>130</v>
      </c>
      <c r="I162" s="246">
        <v>8.1257599999999999E-2</v>
      </c>
      <c r="J162" s="260" t="s">
        <v>130</v>
      </c>
      <c r="K162" s="252">
        <v>2538300</v>
      </c>
      <c r="L162" s="252">
        <v>2538300</v>
      </c>
      <c r="M162" s="248">
        <f t="shared" si="18"/>
        <v>1</v>
      </c>
    </row>
    <row r="163" spans="1:13" s="253" customFormat="1" ht="12.75" customHeight="1" outlineLevel="1" x14ac:dyDescent="0.2">
      <c r="A163" s="250"/>
      <c r="B163" s="250"/>
      <c r="C163" s="251"/>
      <c r="D163" s="242" t="s">
        <v>144</v>
      </c>
      <c r="E163" s="309">
        <v>51241</v>
      </c>
      <c r="F163" s="254">
        <v>7.4999999999999997E-2</v>
      </c>
      <c r="G163" s="260" t="s">
        <v>130</v>
      </c>
      <c r="H163" s="260" t="s">
        <v>130</v>
      </c>
      <c r="I163" s="246">
        <v>8.1647899999999995E-2</v>
      </c>
      <c r="J163" s="260" t="s">
        <v>130</v>
      </c>
      <c r="K163" s="252">
        <v>2891500</v>
      </c>
      <c r="L163" s="252">
        <v>2891500</v>
      </c>
      <c r="M163" s="248">
        <f t="shared" si="18"/>
        <v>1</v>
      </c>
    </row>
    <row r="164" spans="1:13" s="249" customFormat="1" ht="12.75" customHeight="1" outlineLevel="1" x14ac:dyDescent="0.2">
      <c r="A164" s="250"/>
      <c r="B164" s="250"/>
      <c r="C164" s="250"/>
      <c r="D164" s="255" t="s">
        <v>134</v>
      </c>
      <c r="E164" s="307">
        <v>54193</v>
      </c>
      <c r="F164" s="254">
        <v>7.3749999999999996E-2</v>
      </c>
      <c r="G164" s="260" t="s">
        <v>130</v>
      </c>
      <c r="H164" s="260" t="s">
        <v>130</v>
      </c>
      <c r="I164" s="246">
        <v>8.2410399999999995E-2</v>
      </c>
      <c r="J164" s="260" t="s">
        <v>130</v>
      </c>
      <c r="K164" s="252">
        <v>2139000</v>
      </c>
      <c r="L164" s="252">
        <v>2139000</v>
      </c>
      <c r="M164" s="248">
        <f t="shared" si="18"/>
        <v>1</v>
      </c>
    </row>
    <row r="165" spans="1:13" s="249" customFormat="1" ht="12.75" customHeight="1" outlineLevel="1" x14ac:dyDescent="0.2">
      <c r="A165" s="490" t="s">
        <v>121</v>
      </c>
      <c r="B165" s="491"/>
      <c r="C165" s="491"/>
      <c r="D165" s="491"/>
      <c r="E165" s="491"/>
      <c r="F165" s="491"/>
      <c r="G165" s="491"/>
      <c r="H165" s="491"/>
      <c r="I165" s="491"/>
      <c r="J165" s="492"/>
      <c r="K165" s="257">
        <f>SUM(K160:K164)</f>
        <v>13993800</v>
      </c>
      <c r="L165" s="257">
        <f>SUM(L160:L164)</f>
        <v>11380000</v>
      </c>
      <c r="M165" s="257"/>
    </row>
    <row r="166" spans="1:13" s="180" customFormat="1" ht="12.75" customHeight="1" x14ac:dyDescent="0.2">
      <c r="A166" s="489" t="s">
        <v>173</v>
      </c>
      <c r="B166" s="489"/>
      <c r="C166" s="489"/>
      <c r="D166" s="489"/>
      <c r="E166" s="489"/>
      <c r="F166" s="489"/>
      <c r="G166" s="489"/>
      <c r="H166" s="489"/>
      <c r="I166" s="489"/>
      <c r="J166" s="489"/>
      <c r="K166" s="182">
        <f>SUM(K117,K124,K131,K139,K146,K151,K159,K165)</f>
        <v>230275600</v>
      </c>
      <c r="L166" s="182">
        <f>SUM(L117,L124,L131,L139,L146,L151,L159,L165)</f>
        <v>154930100</v>
      </c>
      <c r="M166" s="181"/>
    </row>
    <row r="167" spans="1:13" s="180" customFormat="1" ht="12.75" customHeight="1" x14ac:dyDescent="0.2">
      <c r="A167" s="468" t="s">
        <v>189</v>
      </c>
      <c r="B167" s="469"/>
      <c r="C167" s="469"/>
      <c r="D167" s="469"/>
      <c r="E167" s="469"/>
      <c r="F167" s="469"/>
      <c r="G167" s="469"/>
      <c r="H167" s="469"/>
      <c r="I167" s="469"/>
      <c r="J167" s="470"/>
      <c r="K167" s="182">
        <f>SUM(K109,K166)</f>
        <v>1211312497</v>
      </c>
      <c r="L167" s="182">
        <f>SUM(L109,L166)</f>
        <v>376544597</v>
      </c>
      <c r="M167" s="181"/>
    </row>
    <row r="168" spans="1:13" s="253" customFormat="1" ht="12.75" customHeight="1" outlineLevel="1" x14ac:dyDescent="0.2">
      <c r="A168" s="240">
        <v>43948</v>
      </c>
      <c r="B168" s="240">
        <v>43955</v>
      </c>
      <c r="C168" s="241" t="s">
        <v>170</v>
      </c>
      <c r="D168" s="242" t="s">
        <v>191</v>
      </c>
      <c r="E168" s="243">
        <v>46068</v>
      </c>
      <c r="F168" s="254">
        <v>7.2499999999999995E-2</v>
      </c>
      <c r="G168" s="245" t="s">
        <v>130</v>
      </c>
      <c r="H168" s="245" t="s">
        <v>130</v>
      </c>
      <c r="I168" s="246">
        <v>7.3700000000000002E-2</v>
      </c>
      <c r="J168" s="245" t="s">
        <v>130</v>
      </c>
      <c r="K168" s="252">
        <v>37877372</v>
      </c>
      <c r="L168" s="252">
        <v>37877372</v>
      </c>
      <c r="M168" s="248">
        <f t="shared" ref="M168:M170" si="19">IF(L168=0,0,K168/L168)</f>
        <v>1</v>
      </c>
    </row>
    <row r="169" spans="1:13" s="253" customFormat="1" ht="12.75" customHeight="1" outlineLevel="1" x14ac:dyDescent="0.2">
      <c r="A169" s="250"/>
      <c r="B169" s="250"/>
      <c r="C169" s="251"/>
      <c r="D169" s="242" t="s">
        <v>192</v>
      </c>
      <c r="E169" s="243">
        <v>47953</v>
      </c>
      <c r="F169" s="254">
        <v>7.7499999999999999E-2</v>
      </c>
      <c r="G169" s="245" t="s">
        <v>130</v>
      </c>
      <c r="H169" s="245" t="s">
        <v>130</v>
      </c>
      <c r="I169" s="246">
        <v>7.8600000000000003E-2</v>
      </c>
      <c r="J169" s="245" t="s">
        <v>130</v>
      </c>
      <c r="K169" s="252">
        <v>21177940</v>
      </c>
      <c r="L169" s="252">
        <v>21177940</v>
      </c>
      <c r="M169" s="248">
        <f t="shared" si="19"/>
        <v>1</v>
      </c>
    </row>
    <row r="170" spans="1:13" s="272" customFormat="1" ht="45" outlineLevel="1" x14ac:dyDescent="0.2">
      <c r="A170" s="263"/>
      <c r="B170" s="263"/>
      <c r="C170" s="264"/>
      <c r="D170" s="265" t="s">
        <v>193</v>
      </c>
      <c r="E170" s="266">
        <v>45772</v>
      </c>
      <c r="F170" s="267" t="s">
        <v>194</v>
      </c>
      <c r="G170" s="268" t="s">
        <v>130</v>
      </c>
      <c r="H170" s="268" t="s">
        <v>130</v>
      </c>
      <c r="I170" s="269">
        <v>1</v>
      </c>
      <c r="J170" s="268" t="s">
        <v>130</v>
      </c>
      <c r="K170" s="270">
        <v>3568686</v>
      </c>
      <c r="L170" s="270">
        <v>3568686</v>
      </c>
      <c r="M170" s="271">
        <f t="shared" si="19"/>
        <v>1</v>
      </c>
    </row>
    <row r="171" spans="1:13" s="249" customFormat="1" ht="12.75" customHeight="1" outlineLevel="1" x14ac:dyDescent="0.2">
      <c r="A171" s="483" t="s">
        <v>121</v>
      </c>
      <c r="B171" s="484"/>
      <c r="C171" s="484"/>
      <c r="D171" s="484"/>
      <c r="E171" s="484"/>
      <c r="F171" s="484"/>
      <c r="G171" s="484"/>
      <c r="H171" s="484"/>
      <c r="I171" s="484"/>
      <c r="J171" s="485"/>
      <c r="K171" s="257">
        <f>SUM(K168:K170)</f>
        <v>62623998</v>
      </c>
      <c r="L171" s="257">
        <f>SUM(L168:L170)</f>
        <v>62623998</v>
      </c>
      <c r="M171" s="257"/>
    </row>
    <row r="172" spans="1:13" s="253" customFormat="1" ht="12.75" customHeight="1" outlineLevel="1" x14ac:dyDescent="0.2">
      <c r="A172" s="240">
        <v>43948</v>
      </c>
      <c r="B172" s="240">
        <v>43955</v>
      </c>
      <c r="C172" s="241" t="s">
        <v>170</v>
      </c>
      <c r="D172" s="242" t="s">
        <v>50</v>
      </c>
      <c r="E172" s="243">
        <v>46402</v>
      </c>
      <c r="F172" s="254">
        <v>0.06</v>
      </c>
      <c r="G172" s="245" t="s">
        <v>130</v>
      </c>
      <c r="H172" s="245" t="s">
        <v>130</v>
      </c>
      <c r="I172" s="245" t="s">
        <v>130</v>
      </c>
      <c r="J172" s="245" t="s">
        <v>130</v>
      </c>
      <c r="K172" s="252">
        <v>11600000</v>
      </c>
      <c r="L172" s="252">
        <v>11600000</v>
      </c>
      <c r="M172" s="248">
        <f t="shared" ref="M172:M174" si="20">IF(L172=0,0,K172/L172)</f>
        <v>1</v>
      </c>
    </row>
    <row r="173" spans="1:13" s="253" customFormat="1" ht="12.75" customHeight="1" outlineLevel="1" x14ac:dyDescent="0.2">
      <c r="A173" s="250"/>
      <c r="B173" s="250"/>
      <c r="C173" s="251"/>
      <c r="D173" s="242" t="s">
        <v>195</v>
      </c>
      <c r="E173" s="243">
        <v>45945</v>
      </c>
      <c r="F173" s="254">
        <v>6.1249999999999999E-2</v>
      </c>
      <c r="G173" s="245" t="s">
        <v>130</v>
      </c>
      <c r="H173" s="245" t="s">
        <v>130</v>
      </c>
      <c r="I173" s="245" t="s">
        <v>130</v>
      </c>
      <c r="J173" s="245" t="s">
        <v>130</v>
      </c>
      <c r="K173" s="252">
        <v>30332580</v>
      </c>
      <c r="L173" s="252">
        <v>30332580</v>
      </c>
      <c r="M173" s="248">
        <f t="shared" si="20"/>
        <v>1</v>
      </c>
    </row>
    <row r="174" spans="1:13" s="272" customFormat="1" outlineLevel="1" x14ac:dyDescent="0.2">
      <c r="A174" s="263"/>
      <c r="B174" s="263"/>
      <c r="C174" s="264"/>
      <c r="D174" s="265" t="s">
        <v>196</v>
      </c>
      <c r="E174" s="266">
        <v>45061</v>
      </c>
      <c r="F174" s="254">
        <v>6.5000000000000002E-2</v>
      </c>
      <c r="G174" s="268" t="s">
        <v>130</v>
      </c>
      <c r="H174" s="268" t="s">
        <v>130</v>
      </c>
      <c r="I174" s="245" t="s">
        <v>130</v>
      </c>
      <c r="J174" s="268" t="s">
        <v>130</v>
      </c>
      <c r="K174" s="270">
        <v>4561896</v>
      </c>
      <c r="L174" s="270">
        <v>4561896</v>
      </c>
      <c r="M174" s="271">
        <f t="shared" si="20"/>
        <v>1</v>
      </c>
    </row>
    <row r="175" spans="1:13" s="249" customFormat="1" ht="12.75" customHeight="1" outlineLevel="1" x14ac:dyDescent="0.2">
      <c r="A175" s="483" t="s">
        <v>121</v>
      </c>
      <c r="B175" s="484"/>
      <c r="C175" s="484"/>
      <c r="D175" s="484"/>
      <c r="E175" s="484"/>
      <c r="F175" s="484"/>
      <c r="G175" s="484"/>
      <c r="H175" s="484"/>
      <c r="I175" s="484"/>
      <c r="J175" s="485"/>
      <c r="K175" s="257">
        <f>SUM(K172:K174)</f>
        <v>46494476</v>
      </c>
      <c r="L175" s="257">
        <f>SUM(L172:L174)</f>
        <v>46494476</v>
      </c>
      <c r="M175" s="257"/>
    </row>
    <row r="176" spans="1:13" s="253" customFormat="1" ht="12.75" customHeight="1" outlineLevel="1" x14ac:dyDescent="0.2">
      <c r="A176" s="240">
        <v>43950</v>
      </c>
      <c r="B176" s="240">
        <v>43955</v>
      </c>
      <c r="C176" s="241" t="s">
        <v>170</v>
      </c>
      <c r="D176" s="242" t="s">
        <v>196</v>
      </c>
      <c r="E176" s="243">
        <v>45061</v>
      </c>
      <c r="F176" s="254">
        <v>6.5000000000000002E-2</v>
      </c>
      <c r="G176" s="245" t="s">
        <v>130</v>
      </c>
      <c r="H176" s="245" t="s">
        <v>130</v>
      </c>
      <c r="I176" s="245" t="s">
        <v>130</v>
      </c>
      <c r="J176" s="245" t="s">
        <v>130</v>
      </c>
      <c r="K176" s="252">
        <v>1077000</v>
      </c>
      <c r="L176" s="252">
        <v>1077000</v>
      </c>
      <c r="M176" s="248">
        <f t="shared" ref="M176" si="21">IF(L176=0,0,K176/L176)</f>
        <v>1</v>
      </c>
    </row>
    <row r="177" spans="1:13" s="249" customFormat="1" ht="13.5" customHeight="1" outlineLevel="1" x14ac:dyDescent="0.2">
      <c r="A177" s="483" t="s">
        <v>121</v>
      </c>
      <c r="B177" s="484"/>
      <c r="C177" s="484"/>
      <c r="D177" s="484"/>
      <c r="E177" s="484"/>
      <c r="F177" s="484"/>
      <c r="G177" s="484"/>
      <c r="H177" s="484"/>
      <c r="I177" s="484"/>
      <c r="J177" s="485"/>
      <c r="K177" s="257">
        <f>SUM(K176:K176)</f>
        <v>1077000</v>
      </c>
      <c r="L177" s="257">
        <f>SUM(L176:L176)</f>
        <v>1077000</v>
      </c>
      <c r="M177" s="257"/>
    </row>
    <row r="178" spans="1:13" s="249" customFormat="1" ht="12.75" customHeight="1" outlineLevel="1" x14ac:dyDescent="0.2">
      <c r="A178" s="276">
        <v>43956</v>
      </c>
      <c r="B178" s="278">
        <v>43959</v>
      </c>
      <c r="C178" s="282" t="s">
        <v>145</v>
      </c>
      <c r="D178" s="285" t="s">
        <v>204</v>
      </c>
      <c r="E178" s="171">
        <v>44141</v>
      </c>
      <c r="F178" s="286" t="s">
        <v>128</v>
      </c>
      <c r="G178" s="288">
        <v>3.6249999999999998E-2</v>
      </c>
      <c r="H178" s="287">
        <v>0.05</v>
      </c>
      <c r="I178" s="289" t="s">
        <v>130</v>
      </c>
      <c r="J178" s="291" t="s">
        <v>130</v>
      </c>
      <c r="K178" s="252">
        <v>650000</v>
      </c>
      <c r="L178" s="273"/>
      <c r="M178" s="273"/>
    </row>
    <row r="179" spans="1:13" s="71" customFormat="1" ht="12.75" customHeight="1" outlineLevel="1" x14ac:dyDescent="0.2">
      <c r="A179" s="277"/>
      <c r="B179" s="279"/>
      <c r="C179" s="279"/>
      <c r="D179" s="202" t="s">
        <v>49</v>
      </c>
      <c r="E179" s="171">
        <v>44576</v>
      </c>
      <c r="F179" s="183">
        <v>5.45E-2</v>
      </c>
      <c r="G179" s="183">
        <v>6.0624999999999998E-2</v>
      </c>
      <c r="H179" s="183">
        <v>7.4999999999999997E-2</v>
      </c>
      <c r="I179" s="226">
        <v>6.19696E-2</v>
      </c>
      <c r="J179" s="218">
        <v>6.2812499999999993E-2</v>
      </c>
      <c r="K179" s="195">
        <v>4893000</v>
      </c>
      <c r="L179" s="195">
        <v>1500000</v>
      </c>
      <c r="M179" s="193">
        <f>IF(L179=0,0,K179/L179)</f>
        <v>3.262</v>
      </c>
    </row>
    <row r="180" spans="1:13" s="71" customFormat="1" ht="12.75" customHeight="1" outlineLevel="1" x14ac:dyDescent="0.2">
      <c r="A180" s="169"/>
      <c r="B180" s="169"/>
      <c r="C180" s="169"/>
      <c r="D180" s="202" t="s">
        <v>147</v>
      </c>
      <c r="E180" s="171">
        <v>45580</v>
      </c>
      <c r="F180" s="183">
        <v>6.6250000000000003E-2</v>
      </c>
      <c r="G180" s="183">
        <v>7.2187500000000002E-2</v>
      </c>
      <c r="H180" s="183">
        <v>0.08</v>
      </c>
      <c r="I180" s="179">
        <v>7.40923E-2</v>
      </c>
      <c r="J180" s="284">
        <v>7.4999999999999997E-2</v>
      </c>
      <c r="K180" s="173">
        <v>4997000</v>
      </c>
      <c r="L180" s="192">
        <v>1200000</v>
      </c>
      <c r="M180" s="193">
        <f>IF(L180=0,0,K180/L180)</f>
        <v>4.1641666666666666</v>
      </c>
    </row>
    <row r="181" spans="1:13" s="71" customFormat="1" ht="12.75" customHeight="1" outlineLevel="1" x14ac:dyDescent="0.2">
      <c r="A181" s="169"/>
      <c r="B181" s="169"/>
      <c r="C181" s="169"/>
      <c r="D181" s="202" t="s">
        <v>197</v>
      </c>
      <c r="E181" s="171">
        <v>51394</v>
      </c>
      <c r="F181" s="183">
        <v>0.09</v>
      </c>
      <c r="G181" s="183">
        <v>8.2812499999999997E-2</v>
      </c>
      <c r="H181" s="183">
        <v>9.2499999999999999E-2</v>
      </c>
      <c r="I181" s="179">
        <v>8.4432999999999994E-2</v>
      </c>
      <c r="J181" s="218">
        <v>8.5000000000000006E-2</v>
      </c>
      <c r="K181" s="173">
        <v>6288600</v>
      </c>
      <c r="L181" s="192">
        <v>2850000</v>
      </c>
      <c r="M181" s="193">
        <f>IF(L181=0,0,K181/L181)</f>
        <v>2.2065263157894739</v>
      </c>
    </row>
    <row r="182" spans="1:13" s="71" customFormat="1" ht="12.75" customHeight="1" outlineLevel="1" x14ac:dyDescent="0.2">
      <c r="A182" s="280"/>
      <c r="B182" s="280"/>
      <c r="C182" s="280"/>
      <c r="D182" s="281" t="s">
        <v>148</v>
      </c>
      <c r="E182" s="171">
        <v>52336</v>
      </c>
      <c r="F182" s="283">
        <v>6.7500000000000004E-2</v>
      </c>
      <c r="G182" s="283">
        <v>8.7187500000000001E-2</v>
      </c>
      <c r="H182" s="283">
        <v>8.9687500000000003E-2</v>
      </c>
      <c r="I182" s="290" t="s">
        <v>130</v>
      </c>
      <c r="J182" s="292" t="s">
        <v>130</v>
      </c>
      <c r="K182" s="173">
        <v>1285800</v>
      </c>
      <c r="L182" s="192"/>
      <c r="M182" s="193"/>
    </row>
    <row r="183" spans="1:13" s="206" customFormat="1" ht="12.75" customHeight="1" outlineLevel="1" x14ac:dyDescent="0.2">
      <c r="A183" s="477" t="s">
        <v>121</v>
      </c>
      <c r="B183" s="478"/>
      <c r="C183" s="478"/>
      <c r="D183" s="478"/>
      <c r="E183" s="478"/>
      <c r="F183" s="478"/>
      <c r="G183" s="478"/>
      <c r="H183" s="478"/>
      <c r="I183" s="478"/>
      <c r="J183" s="479"/>
      <c r="K183" s="220">
        <f>SUM(K178:K182)</f>
        <v>18114400</v>
      </c>
      <c r="L183" s="220">
        <f>SUM(L179:L181)</f>
        <v>5550000</v>
      </c>
      <c r="M183" s="220"/>
    </row>
    <row r="184" spans="1:13" s="71" customFormat="1" ht="12.75" customHeight="1" outlineLevel="1" x14ac:dyDescent="0.2">
      <c r="A184" s="171">
        <v>43957</v>
      </c>
      <c r="B184" s="240">
        <v>43959</v>
      </c>
      <c r="C184" s="174" t="s">
        <v>198</v>
      </c>
      <c r="D184" s="201" t="s">
        <v>49</v>
      </c>
      <c r="E184" s="171">
        <v>44576</v>
      </c>
      <c r="F184" s="183">
        <v>5.45E-2</v>
      </c>
      <c r="G184" s="245" t="s">
        <v>130</v>
      </c>
      <c r="H184" s="245" t="s">
        <v>130</v>
      </c>
      <c r="I184" s="226">
        <v>6.19696E-2</v>
      </c>
      <c r="J184" s="245" t="s">
        <v>130</v>
      </c>
      <c r="K184" s="195">
        <v>1150000</v>
      </c>
      <c r="L184" s="195">
        <v>1150000</v>
      </c>
      <c r="M184" s="193">
        <f>IF(L184=0,0,K184/L184)</f>
        <v>1</v>
      </c>
    </row>
    <row r="185" spans="1:13" s="71" customFormat="1" ht="12.75" customHeight="1" outlineLevel="1" x14ac:dyDescent="0.2">
      <c r="A185" s="169"/>
      <c r="B185" s="169"/>
      <c r="C185" s="169"/>
      <c r="D185" s="201" t="s">
        <v>147</v>
      </c>
      <c r="E185" s="171">
        <v>45580</v>
      </c>
      <c r="F185" s="183">
        <v>6.6250000000000003E-2</v>
      </c>
      <c r="G185" s="245" t="s">
        <v>130</v>
      </c>
      <c r="H185" s="245" t="s">
        <v>130</v>
      </c>
      <c r="I185" s="179">
        <v>7.40923E-2</v>
      </c>
      <c r="J185" s="245" t="s">
        <v>130</v>
      </c>
      <c r="K185" s="195">
        <v>1125000</v>
      </c>
      <c r="L185" s="195">
        <v>1125000</v>
      </c>
      <c r="M185" s="193">
        <f>IF(L185=0,0,K185/L185)</f>
        <v>1</v>
      </c>
    </row>
    <row r="186" spans="1:13" s="206" customFormat="1" ht="12.75" customHeight="1" outlineLevel="1" x14ac:dyDescent="0.2">
      <c r="A186" s="477" t="s">
        <v>121</v>
      </c>
      <c r="B186" s="478"/>
      <c r="C186" s="478"/>
      <c r="D186" s="478"/>
      <c r="E186" s="478"/>
      <c r="F186" s="478"/>
      <c r="G186" s="478"/>
      <c r="H186" s="478"/>
      <c r="I186" s="478"/>
      <c r="J186" s="479"/>
      <c r="K186" s="220">
        <f>SUM(K184:K185)</f>
        <v>2275000</v>
      </c>
      <c r="L186" s="220">
        <f>SUM(L184:L185)</f>
        <v>2275000</v>
      </c>
      <c r="M186" s="220"/>
    </row>
    <row r="187" spans="1:13" s="253" customFormat="1" ht="12.75" customHeight="1" outlineLevel="1" x14ac:dyDescent="0.2">
      <c r="A187" s="240">
        <v>43959</v>
      </c>
      <c r="B187" s="240">
        <v>43963</v>
      </c>
      <c r="C187" s="241" t="s">
        <v>170</v>
      </c>
      <c r="D187" s="242" t="s">
        <v>199</v>
      </c>
      <c r="E187" s="243">
        <v>52642</v>
      </c>
      <c r="F187" s="254">
        <v>8.7499999999999994E-2</v>
      </c>
      <c r="G187" s="245" t="s">
        <v>130</v>
      </c>
      <c r="H187" s="245" t="s">
        <v>130</v>
      </c>
      <c r="I187" s="246">
        <v>8.2299999999999998E-2</v>
      </c>
      <c r="J187" s="245" t="s">
        <v>130</v>
      </c>
      <c r="K187" s="252">
        <v>300000</v>
      </c>
      <c r="L187" s="252">
        <v>300000</v>
      </c>
      <c r="M187" s="248">
        <f t="shared" ref="M187:M188" si="22">IF(L187=0,0,K187/L187)</f>
        <v>1</v>
      </c>
    </row>
    <row r="188" spans="1:13" s="253" customFormat="1" ht="12.75" customHeight="1" outlineLevel="1" x14ac:dyDescent="0.2">
      <c r="A188" s="250"/>
      <c r="B188" s="250"/>
      <c r="C188" s="251"/>
      <c r="D188" s="242" t="s">
        <v>200</v>
      </c>
      <c r="E188" s="243">
        <v>47983</v>
      </c>
      <c r="F188" s="254">
        <v>8.7499999999999994E-2</v>
      </c>
      <c r="G188" s="245" t="s">
        <v>130</v>
      </c>
      <c r="H188" s="245" t="s">
        <v>130</v>
      </c>
      <c r="I188" s="246">
        <v>8.1000000000000003E-2</v>
      </c>
      <c r="J188" s="245" t="s">
        <v>130</v>
      </c>
      <c r="K188" s="252">
        <v>500000</v>
      </c>
      <c r="L188" s="252">
        <v>500000</v>
      </c>
      <c r="M188" s="248">
        <f t="shared" si="22"/>
        <v>1</v>
      </c>
    </row>
    <row r="189" spans="1:13" s="249" customFormat="1" ht="12.75" customHeight="1" outlineLevel="1" x14ac:dyDescent="0.2">
      <c r="A189" s="483" t="s">
        <v>121</v>
      </c>
      <c r="B189" s="484"/>
      <c r="C189" s="484"/>
      <c r="D189" s="484"/>
      <c r="E189" s="484"/>
      <c r="F189" s="484"/>
      <c r="G189" s="484"/>
      <c r="H189" s="484"/>
      <c r="I189" s="484"/>
      <c r="J189" s="485"/>
      <c r="K189" s="257">
        <f>SUM(K187:K188)</f>
        <v>800000</v>
      </c>
      <c r="L189" s="257">
        <f>SUM(L187:L188)</f>
        <v>800000</v>
      </c>
      <c r="M189" s="257"/>
    </row>
    <row r="190" spans="1:13" s="253" customFormat="1" ht="12.75" customHeight="1" outlineLevel="1" x14ac:dyDescent="0.2">
      <c r="A190" s="240">
        <v>43951</v>
      </c>
      <c r="B190" s="240">
        <v>43963</v>
      </c>
      <c r="C190" s="241" t="s">
        <v>170</v>
      </c>
      <c r="D190" s="242" t="s">
        <v>202</v>
      </c>
      <c r="E190" s="243">
        <v>49049</v>
      </c>
      <c r="F190" s="254">
        <v>8.6249999999999993E-2</v>
      </c>
      <c r="G190" s="245" t="s">
        <v>130</v>
      </c>
      <c r="H190" s="245" t="s">
        <v>130</v>
      </c>
      <c r="I190" s="274" t="s">
        <v>130</v>
      </c>
      <c r="J190" s="245" t="s">
        <v>130</v>
      </c>
      <c r="K190" s="252">
        <v>2500000</v>
      </c>
      <c r="L190" s="252">
        <v>2500000</v>
      </c>
      <c r="M190" s="248">
        <f t="shared" ref="M190:M191" si="23">IF(L190=0,0,K190/L190)</f>
        <v>1</v>
      </c>
    </row>
    <row r="191" spans="1:13" s="253" customFormat="1" ht="12.75" customHeight="1" outlineLevel="1" x14ac:dyDescent="0.2">
      <c r="A191" s="240">
        <v>43959</v>
      </c>
      <c r="B191" s="250"/>
      <c r="C191" s="251"/>
      <c r="D191" s="242" t="s">
        <v>203</v>
      </c>
      <c r="E191" s="243">
        <v>47618</v>
      </c>
      <c r="F191" s="254">
        <v>8.1250000000000003E-2</v>
      </c>
      <c r="G191" s="245" t="s">
        <v>130</v>
      </c>
      <c r="H191" s="245" t="s">
        <v>130</v>
      </c>
      <c r="I191" s="274" t="s">
        <v>130</v>
      </c>
      <c r="J191" s="245" t="s">
        <v>130</v>
      </c>
      <c r="K191" s="252">
        <v>3675000</v>
      </c>
      <c r="L191" s="252">
        <v>3675000</v>
      </c>
      <c r="M191" s="248">
        <f t="shared" si="23"/>
        <v>1</v>
      </c>
    </row>
    <row r="192" spans="1:13" s="249" customFormat="1" ht="12.75" customHeight="1" outlineLevel="1" x14ac:dyDescent="0.2">
      <c r="A192" s="483" t="s">
        <v>17</v>
      </c>
      <c r="B192" s="484"/>
      <c r="C192" s="484"/>
      <c r="D192" s="484"/>
      <c r="E192" s="484"/>
      <c r="F192" s="484"/>
      <c r="G192" s="484"/>
      <c r="H192" s="484"/>
      <c r="I192" s="484"/>
      <c r="J192" s="485"/>
      <c r="K192" s="257">
        <f>SUM(K190:K191)</f>
        <v>6175000</v>
      </c>
      <c r="L192" s="257">
        <f>SUM(L190:L191)</f>
        <v>6175000</v>
      </c>
      <c r="M192" s="273"/>
    </row>
    <row r="193" spans="1:13" s="249" customFormat="1" ht="12.75" customHeight="1" outlineLevel="1" x14ac:dyDescent="0.2">
      <c r="A193" s="240">
        <v>43963</v>
      </c>
      <c r="B193" s="240">
        <v>43965</v>
      </c>
      <c r="C193" s="241" t="s">
        <v>145</v>
      </c>
      <c r="D193" s="242" t="s">
        <v>201</v>
      </c>
      <c r="E193" s="243">
        <v>44057</v>
      </c>
      <c r="F193" s="244" t="s">
        <v>128</v>
      </c>
      <c r="G193" s="245">
        <v>3.4500000000000003E-2</v>
      </c>
      <c r="H193" s="245">
        <v>3.6999999999999998E-2</v>
      </c>
      <c r="I193" s="246">
        <v>3.4889999999999997E-2</v>
      </c>
      <c r="J193" s="246">
        <v>3.5000000000000003E-2</v>
      </c>
      <c r="K193" s="247">
        <v>920000</v>
      </c>
      <c r="L193" s="247">
        <v>800000</v>
      </c>
      <c r="M193" s="248">
        <f t="shared" ref="M193:M206" si="24">IF(L193=0,0,K193/L193)</f>
        <v>1.1499999999999999</v>
      </c>
    </row>
    <row r="194" spans="1:13" s="253" customFormat="1" ht="12.75" customHeight="1" outlineLevel="1" x14ac:dyDescent="0.2">
      <c r="A194" s="250"/>
      <c r="B194" s="250"/>
      <c r="C194" s="251"/>
      <c r="D194" s="242" t="s">
        <v>187</v>
      </c>
      <c r="E194" s="243">
        <v>44315</v>
      </c>
      <c r="F194" s="244" t="s">
        <v>128</v>
      </c>
      <c r="G194" s="245">
        <v>3.7499999999999999E-2</v>
      </c>
      <c r="H194" s="245">
        <v>0.04</v>
      </c>
      <c r="I194" s="246">
        <v>3.8666699999999998E-2</v>
      </c>
      <c r="J194" s="246">
        <v>0.04</v>
      </c>
      <c r="K194" s="252">
        <v>150000</v>
      </c>
      <c r="L194" s="252">
        <v>150000</v>
      </c>
      <c r="M194" s="248">
        <f t="shared" si="24"/>
        <v>1</v>
      </c>
    </row>
    <row r="195" spans="1:13" s="253" customFormat="1" ht="12.75" customHeight="1" outlineLevel="1" x14ac:dyDescent="0.2">
      <c r="A195" s="250"/>
      <c r="B195" s="250"/>
      <c r="C195" s="251"/>
      <c r="D195" s="242" t="s">
        <v>137</v>
      </c>
      <c r="E195" s="309">
        <v>45823</v>
      </c>
      <c r="F195" s="254">
        <v>6.5000000000000002E-2</v>
      </c>
      <c r="G195" s="245">
        <v>7.3700000000000002E-2</v>
      </c>
      <c r="H195" s="245">
        <v>8.5000000000000006E-2</v>
      </c>
      <c r="I195" s="246">
        <v>7.4829000000000007E-2</v>
      </c>
      <c r="J195" s="246">
        <v>7.4999999999999997E-2</v>
      </c>
      <c r="K195" s="252">
        <v>29800300</v>
      </c>
      <c r="L195" s="252">
        <v>9300000</v>
      </c>
      <c r="M195" s="248">
        <f t="shared" si="24"/>
        <v>3.2043333333333335</v>
      </c>
    </row>
    <row r="196" spans="1:13" s="253" customFormat="1" ht="12.75" customHeight="1" outlineLevel="1" x14ac:dyDescent="0.2">
      <c r="A196" s="250"/>
      <c r="B196" s="250"/>
      <c r="C196" s="251"/>
      <c r="D196" s="242" t="s">
        <v>138</v>
      </c>
      <c r="E196" s="309">
        <v>47741</v>
      </c>
      <c r="F196" s="254">
        <v>7.0000000000000007E-2</v>
      </c>
      <c r="G196" s="245">
        <v>0.08</v>
      </c>
      <c r="H196" s="245">
        <v>0.09</v>
      </c>
      <c r="I196" s="246">
        <v>8.0736799999999997E-2</v>
      </c>
      <c r="J196" s="246">
        <v>8.09E-2</v>
      </c>
      <c r="K196" s="252">
        <v>30413000</v>
      </c>
      <c r="L196" s="252">
        <v>7300000</v>
      </c>
      <c r="M196" s="248">
        <f t="shared" si="24"/>
        <v>4.166164383561644</v>
      </c>
    </row>
    <row r="197" spans="1:13" s="253" customFormat="1" ht="12.75" customHeight="1" outlineLevel="1" x14ac:dyDescent="0.2">
      <c r="A197" s="250"/>
      <c r="B197" s="250"/>
      <c r="C197" s="251"/>
      <c r="D197" s="242" t="s">
        <v>136</v>
      </c>
      <c r="E197" s="309">
        <v>49475</v>
      </c>
      <c r="F197" s="254">
        <v>7.4999999999999997E-2</v>
      </c>
      <c r="G197" s="245">
        <v>8.1699999999999995E-2</v>
      </c>
      <c r="H197" s="245">
        <v>9.2499999999999999E-2</v>
      </c>
      <c r="I197" s="246">
        <v>8.2846299999999998E-2</v>
      </c>
      <c r="J197" s="246">
        <v>8.3000000000000004E-2</v>
      </c>
      <c r="K197" s="252">
        <v>5025200</v>
      </c>
      <c r="L197" s="252">
        <v>1300000</v>
      </c>
      <c r="M197" s="248">
        <f t="shared" si="24"/>
        <v>3.8655384615384616</v>
      </c>
    </row>
    <row r="198" spans="1:13" s="253" customFormat="1" ht="12.75" customHeight="1" outlineLevel="1" x14ac:dyDescent="0.2">
      <c r="A198" s="250"/>
      <c r="B198" s="250"/>
      <c r="C198" s="251"/>
      <c r="D198" s="242" t="s">
        <v>144</v>
      </c>
      <c r="E198" s="309">
        <v>51241</v>
      </c>
      <c r="F198" s="254">
        <v>7.4999999999999997E-2</v>
      </c>
      <c r="G198" s="245">
        <v>8.2100000000000006E-2</v>
      </c>
      <c r="H198" s="245">
        <v>9.4E-2</v>
      </c>
      <c r="I198" s="246">
        <v>8.3174799999999993E-2</v>
      </c>
      <c r="J198" s="246">
        <v>8.4000000000000005E-2</v>
      </c>
      <c r="K198" s="252">
        <v>4027500</v>
      </c>
      <c r="L198" s="252">
        <v>750000</v>
      </c>
      <c r="M198" s="248">
        <f t="shared" si="24"/>
        <v>5.37</v>
      </c>
    </row>
    <row r="199" spans="1:13" s="249" customFormat="1" ht="12.75" customHeight="1" outlineLevel="1" x14ac:dyDescent="0.2">
      <c r="A199" s="250"/>
      <c r="B199" s="250"/>
      <c r="C199" s="250"/>
      <c r="D199" s="255" t="s">
        <v>134</v>
      </c>
      <c r="E199" s="307">
        <v>54193</v>
      </c>
      <c r="F199" s="254">
        <v>7.3749999999999996E-2</v>
      </c>
      <c r="G199" s="256">
        <v>8.2400000000000001E-2</v>
      </c>
      <c r="H199" s="254">
        <v>9.5000000000000001E-2</v>
      </c>
      <c r="I199" s="246">
        <v>8.3780199999999999E-2</v>
      </c>
      <c r="J199" s="256">
        <v>8.4500000000000006E-2</v>
      </c>
      <c r="K199" s="252">
        <v>3409500</v>
      </c>
      <c r="L199" s="252">
        <v>400000</v>
      </c>
      <c r="M199" s="248">
        <f t="shared" si="24"/>
        <v>8.5237499999999997</v>
      </c>
    </row>
    <row r="200" spans="1:13" s="249" customFormat="1" ht="12.75" customHeight="1" outlineLevel="1" x14ac:dyDescent="0.2">
      <c r="A200" s="483" t="s">
        <v>121</v>
      </c>
      <c r="B200" s="484"/>
      <c r="C200" s="484"/>
      <c r="D200" s="484"/>
      <c r="E200" s="484"/>
      <c r="F200" s="484"/>
      <c r="G200" s="484"/>
      <c r="H200" s="484"/>
      <c r="I200" s="484"/>
      <c r="J200" s="485"/>
      <c r="K200" s="257">
        <f>SUM(K193:K199)</f>
        <v>73745500</v>
      </c>
      <c r="L200" s="257">
        <f>SUM(L193:L199)</f>
        <v>20000000</v>
      </c>
      <c r="M200" s="257"/>
    </row>
    <row r="201" spans="1:13" s="249" customFormat="1" ht="12.75" customHeight="1" outlineLevel="1" x14ac:dyDescent="0.2">
      <c r="A201" s="208">
        <v>43969</v>
      </c>
      <c r="B201" s="293">
        <v>43971</v>
      </c>
      <c r="C201" s="294" t="s">
        <v>145</v>
      </c>
      <c r="D201" s="300" t="s">
        <v>205</v>
      </c>
      <c r="E201" s="276">
        <v>44154</v>
      </c>
      <c r="F201" s="295" t="s">
        <v>128</v>
      </c>
      <c r="G201" s="296">
        <v>0.04</v>
      </c>
      <c r="H201" s="296">
        <v>0.05</v>
      </c>
      <c r="I201" s="297" t="s">
        <v>130</v>
      </c>
      <c r="J201" s="297" t="s">
        <v>130</v>
      </c>
      <c r="K201" s="252">
        <v>151000</v>
      </c>
      <c r="L201" s="298" t="s">
        <v>130</v>
      </c>
      <c r="M201" s="299" t="s">
        <v>130</v>
      </c>
    </row>
    <row r="202" spans="1:13" s="71" customFormat="1" ht="12.75" customHeight="1" outlineLevel="1" x14ac:dyDescent="0.2">
      <c r="A202" s="279"/>
      <c r="B202" s="279"/>
      <c r="C202" s="277"/>
      <c r="D202" s="201" t="s">
        <v>49</v>
      </c>
      <c r="E202" s="171">
        <v>44576</v>
      </c>
      <c r="F202" s="183">
        <v>5.45E-2</v>
      </c>
      <c r="G202" s="183">
        <v>6.0312499999999998E-2</v>
      </c>
      <c r="H202" s="183">
        <v>7.2812500000000002E-2</v>
      </c>
      <c r="I202" s="226">
        <v>6.1573700000000002E-2</v>
      </c>
      <c r="J202" s="226">
        <v>6.1874999999999999E-2</v>
      </c>
      <c r="K202" s="195">
        <v>5099000</v>
      </c>
      <c r="L202" s="195">
        <v>3400000</v>
      </c>
      <c r="M202" s="248">
        <f t="shared" si="24"/>
        <v>1.4997058823529412</v>
      </c>
    </row>
    <row r="203" spans="1:13" s="71" customFormat="1" ht="12.75" customHeight="1" outlineLevel="1" x14ac:dyDescent="0.2">
      <c r="A203" s="169"/>
      <c r="B203" s="169"/>
      <c r="C203" s="275"/>
      <c r="D203" s="201" t="s">
        <v>147</v>
      </c>
      <c r="E203" s="171">
        <v>45580</v>
      </c>
      <c r="F203" s="183">
        <v>6.6250000000000003E-2</v>
      </c>
      <c r="G203" s="183">
        <v>6.9687499999999999E-2</v>
      </c>
      <c r="H203" s="183">
        <v>7.7499999999999999E-2</v>
      </c>
      <c r="I203" s="179">
        <v>7.0700399999999997E-2</v>
      </c>
      <c r="J203" s="179">
        <v>7.1249999999999994E-2</v>
      </c>
      <c r="K203" s="195">
        <v>5684500</v>
      </c>
      <c r="L203" s="195">
        <v>2700000</v>
      </c>
      <c r="M203" s="248">
        <f t="shared" si="24"/>
        <v>2.1053703703703706</v>
      </c>
    </row>
    <row r="204" spans="1:13" s="71" customFormat="1" ht="12.75" customHeight="1" outlineLevel="1" x14ac:dyDescent="0.2">
      <c r="A204" s="251"/>
      <c r="B204" s="251"/>
      <c r="C204" s="251"/>
      <c r="D204" s="201" t="s">
        <v>203</v>
      </c>
      <c r="E204" s="171">
        <v>47618</v>
      </c>
      <c r="F204" s="183">
        <v>8.1250000000000003E-2</v>
      </c>
      <c r="G204" s="183">
        <v>7.8750000000000001E-2</v>
      </c>
      <c r="H204" s="183">
        <v>8.3125000000000004E-2</v>
      </c>
      <c r="I204" s="179">
        <v>7.9984100000000002E-2</v>
      </c>
      <c r="J204" s="179">
        <v>0.08</v>
      </c>
      <c r="K204" s="195">
        <v>3682000</v>
      </c>
      <c r="L204" s="195">
        <v>2250000</v>
      </c>
      <c r="M204" s="248">
        <f t="shared" si="24"/>
        <v>1.6364444444444444</v>
      </c>
    </row>
    <row r="205" spans="1:13" s="71" customFormat="1" ht="12.75" customHeight="1" outlineLevel="1" x14ac:dyDescent="0.2">
      <c r="A205" s="250"/>
      <c r="B205" s="250"/>
      <c r="C205" s="250"/>
      <c r="D205" s="242" t="s">
        <v>53</v>
      </c>
      <c r="E205" s="243">
        <v>50086</v>
      </c>
      <c r="F205" s="254">
        <v>6.0999999999999999E-2</v>
      </c>
      <c r="G205" s="254">
        <v>8.4062499999999998E-2</v>
      </c>
      <c r="H205" s="254">
        <v>8.8124999999999995E-2</v>
      </c>
      <c r="I205" s="254">
        <v>8.48251E-2</v>
      </c>
      <c r="J205" s="254">
        <v>8.5000000000000006E-2</v>
      </c>
      <c r="K205" s="195">
        <v>2026000</v>
      </c>
      <c r="L205" s="195">
        <v>600000</v>
      </c>
      <c r="M205" s="248">
        <f t="shared" si="24"/>
        <v>3.3766666666666665</v>
      </c>
    </row>
    <row r="206" spans="1:13" s="71" customFormat="1" ht="12.75" customHeight="1" outlineLevel="1" x14ac:dyDescent="0.2">
      <c r="A206" s="250"/>
      <c r="B206" s="250"/>
      <c r="C206" s="250"/>
      <c r="D206" s="255" t="s">
        <v>148</v>
      </c>
      <c r="E206" s="240">
        <v>52336</v>
      </c>
      <c r="F206" s="254">
        <v>6.7500000000000004E-2</v>
      </c>
      <c r="G206" s="256">
        <v>8.5625000000000007E-2</v>
      </c>
      <c r="H206" s="254">
        <v>8.9274999999999993E-2</v>
      </c>
      <c r="I206" s="246">
        <v>8.5771100000000003E-2</v>
      </c>
      <c r="J206" s="256">
        <v>8.59375E-2</v>
      </c>
      <c r="K206" s="195">
        <v>2209000</v>
      </c>
      <c r="L206" s="195">
        <v>550000</v>
      </c>
      <c r="M206" s="248">
        <f t="shared" si="24"/>
        <v>4.0163636363636366</v>
      </c>
    </row>
    <row r="207" spans="1:13" s="71" customFormat="1" ht="12.75" customHeight="1" outlineLevel="1" x14ac:dyDescent="0.2">
      <c r="A207" s="483" t="s">
        <v>121</v>
      </c>
      <c r="B207" s="484"/>
      <c r="C207" s="484"/>
      <c r="D207" s="484"/>
      <c r="E207" s="484"/>
      <c r="F207" s="484"/>
      <c r="G207" s="484"/>
      <c r="H207" s="484"/>
      <c r="I207" s="484"/>
      <c r="J207" s="485"/>
      <c r="K207" s="257">
        <f>SUM(K201:K206)</f>
        <v>18851500</v>
      </c>
      <c r="L207" s="257">
        <f>SUM(L201:L206)</f>
        <v>9500000</v>
      </c>
      <c r="M207" s="248"/>
    </row>
    <row r="208" spans="1:13" s="180" customFormat="1" ht="12" customHeight="1" x14ac:dyDescent="0.2">
      <c r="A208" s="489" t="s">
        <v>190</v>
      </c>
      <c r="B208" s="489"/>
      <c r="C208" s="489"/>
      <c r="D208" s="489"/>
      <c r="E208" s="489"/>
      <c r="F208" s="489"/>
      <c r="G208" s="489"/>
      <c r="H208" s="489"/>
      <c r="I208" s="489"/>
      <c r="J208" s="489"/>
      <c r="K208" s="182">
        <f>SUM(K171,K175,K177,K183,K186,K189,K192,K200,K207)</f>
        <v>230156874</v>
      </c>
      <c r="L208" s="182">
        <f>SUM(L171,L175,L177,L183,L186,L189,L192,L200,L207)</f>
        <v>154495474</v>
      </c>
      <c r="M208" s="248"/>
    </row>
    <row r="209" spans="1:13" s="180" customFormat="1" ht="12.75" customHeight="1" x14ac:dyDescent="0.2">
      <c r="A209" s="468" t="s">
        <v>212</v>
      </c>
      <c r="B209" s="469"/>
      <c r="C209" s="469"/>
      <c r="D209" s="469"/>
      <c r="E209" s="469"/>
      <c r="F209" s="469"/>
      <c r="G209" s="469"/>
      <c r="H209" s="469"/>
      <c r="I209" s="469"/>
      <c r="J209" s="470"/>
      <c r="K209" s="182">
        <f>SUM(K167,K208)</f>
        <v>1441469371</v>
      </c>
      <c r="L209" s="182">
        <f>SUM(L167,L208)</f>
        <v>531040071</v>
      </c>
      <c r="M209" s="181"/>
    </row>
    <row r="210" spans="1:13" s="249" customFormat="1" ht="12.75" customHeight="1" outlineLevel="1" x14ac:dyDescent="0.2">
      <c r="A210" s="240">
        <v>43984</v>
      </c>
      <c r="B210" s="240">
        <v>43986</v>
      </c>
      <c r="C210" s="241" t="s">
        <v>145</v>
      </c>
      <c r="D210" s="242" t="s">
        <v>206</v>
      </c>
      <c r="E210" s="243">
        <v>44077</v>
      </c>
      <c r="F210" s="244" t="s">
        <v>128</v>
      </c>
      <c r="G210" s="245">
        <v>3.2500000000000001E-2</v>
      </c>
      <c r="H210" s="245">
        <v>3.2500000000000001E-2</v>
      </c>
      <c r="I210" s="246">
        <v>3.2500000000000001E-2</v>
      </c>
      <c r="J210" s="246">
        <v>3.2500000000000001E-2</v>
      </c>
      <c r="K210" s="247">
        <v>150000</v>
      </c>
      <c r="L210" s="247">
        <v>150000</v>
      </c>
      <c r="M210" s="248">
        <f t="shared" ref="M210:M216" si="25">IF(L210=0,0,K210/L210)</f>
        <v>1</v>
      </c>
    </row>
    <row r="211" spans="1:13" s="253" customFormat="1" ht="12.75" customHeight="1" outlineLevel="1" x14ac:dyDescent="0.2">
      <c r="A211" s="250"/>
      <c r="B211" s="250"/>
      <c r="C211" s="251"/>
      <c r="D211" s="242" t="s">
        <v>207</v>
      </c>
      <c r="E211" s="243">
        <v>44350</v>
      </c>
      <c r="F211" s="244" t="s">
        <v>128</v>
      </c>
      <c r="G211" s="245">
        <v>3.7499999999999999E-2</v>
      </c>
      <c r="H211" s="245">
        <v>0.04</v>
      </c>
      <c r="I211" s="246">
        <v>3.7499999999999999E-2</v>
      </c>
      <c r="J211" s="246">
        <v>3.7499999999999999E-2</v>
      </c>
      <c r="K211" s="252">
        <v>1500000</v>
      </c>
      <c r="L211" s="252">
        <v>200000</v>
      </c>
      <c r="M211" s="248">
        <f t="shared" si="25"/>
        <v>7.5</v>
      </c>
    </row>
    <row r="212" spans="1:13" s="253" customFormat="1" ht="12.75" customHeight="1" outlineLevel="1" x14ac:dyDescent="0.2">
      <c r="A212" s="250"/>
      <c r="B212" s="250"/>
      <c r="C212" s="251"/>
      <c r="D212" s="242" t="s">
        <v>137</v>
      </c>
      <c r="E212" s="309">
        <v>45823</v>
      </c>
      <c r="F212" s="254">
        <v>6.5000000000000002E-2</v>
      </c>
      <c r="G212" s="245">
        <v>6.5500000000000003E-2</v>
      </c>
      <c r="H212" s="245">
        <v>7.3999999999999996E-2</v>
      </c>
      <c r="I212" s="246">
        <v>6.6314999999999999E-2</v>
      </c>
      <c r="J212" s="246">
        <v>6.6500000000000004E-2</v>
      </c>
      <c r="K212" s="252">
        <v>25150000</v>
      </c>
      <c r="L212" s="252">
        <v>7900000</v>
      </c>
      <c r="M212" s="248">
        <f t="shared" si="25"/>
        <v>3.1835443037974684</v>
      </c>
    </row>
    <row r="213" spans="1:13" s="253" customFormat="1" ht="12.75" customHeight="1" outlineLevel="1" x14ac:dyDescent="0.2">
      <c r="A213" s="250"/>
      <c r="B213" s="250"/>
      <c r="C213" s="251"/>
      <c r="D213" s="242" t="s">
        <v>138</v>
      </c>
      <c r="E213" s="309">
        <v>47741</v>
      </c>
      <c r="F213" s="254">
        <v>7.0000000000000007E-2</v>
      </c>
      <c r="G213" s="245">
        <v>7.1499999999999994E-2</v>
      </c>
      <c r="H213" s="245">
        <v>0.08</v>
      </c>
      <c r="I213" s="246">
        <v>7.2009100000000006E-2</v>
      </c>
      <c r="J213" s="246">
        <v>7.22E-2</v>
      </c>
      <c r="K213" s="252">
        <v>44843000</v>
      </c>
      <c r="L213" s="252">
        <v>8000000</v>
      </c>
      <c r="M213" s="248">
        <f t="shared" si="25"/>
        <v>5.6053750000000004</v>
      </c>
    </row>
    <row r="214" spans="1:13" s="253" customFormat="1" ht="12.75" customHeight="1" outlineLevel="1" x14ac:dyDescent="0.2">
      <c r="A214" s="250"/>
      <c r="B214" s="250"/>
      <c r="C214" s="251"/>
      <c r="D214" s="242" t="s">
        <v>136</v>
      </c>
      <c r="E214" s="309">
        <v>49475</v>
      </c>
      <c r="F214" s="254">
        <v>7.4999999999999997E-2</v>
      </c>
      <c r="G214" s="245">
        <v>7.6499999999999999E-2</v>
      </c>
      <c r="H214" s="245">
        <v>8.2500000000000004E-2</v>
      </c>
      <c r="I214" s="246">
        <v>7.6683100000000004E-2</v>
      </c>
      <c r="J214" s="246">
        <v>7.6799999999999993E-2</v>
      </c>
      <c r="K214" s="252">
        <v>15558500</v>
      </c>
      <c r="L214" s="252">
        <v>4300000</v>
      </c>
      <c r="M214" s="248">
        <f t="shared" si="25"/>
        <v>3.6182558139534882</v>
      </c>
    </row>
    <row r="215" spans="1:13" s="253" customFormat="1" ht="12.75" customHeight="1" outlineLevel="1" x14ac:dyDescent="0.2">
      <c r="A215" s="250"/>
      <c r="B215" s="250"/>
      <c r="C215" s="251"/>
      <c r="D215" s="242" t="s">
        <v>144</v>
      </c>
      <c r="E215" s="309">
        <v>51241</v>
      </c>
      <c r="F215" s="254">
        <v>7.4999999999999997E-2</v>
      </c>
      <c r="G215" s="245">
        <v>7.6999999999999999E-2</v>
      </c>
      <c r="H215" s="245">
        <v>8.3000000000000004E-2</v>
      </c>
      <c r="I215" s="246">
        <v>7.7097899999999997E-2</v>
      </c>
      <c r="J215" s="246">
        <v>7.7200000000000005E-2</v>
      </c>
      <c r="K215" s="252">
        <v>10672500</v>
      </c>
      <c r="L215" s="252">
        <v>2150000</v>
      </c>
      <c r="M215" s="248">
        <f t="shared" si="25"/>
        <v>4.963953488372093</v>
      </c>
    </row>
    <row r="216" spans="1:13" s="249" customFormat="1" ht="12.75" customHeight="1" outlineLevel="1" x14ac:dyDescent="0.2">
      <c r="A216" s="250"/>
      <c r="B216" s="250"/>
      <c r="C216" s="250"/>
      <c r="D216" s="255" t="s">
        <v>134</v>
      </c>
      <c r="E216" s="307">
        <v>54193</v>
      </c>
      <c r="F216" s="254">
        <v>7.3749999999999996E-2</v>
      </c>
      <c r="G216" s="256">
        <v>7.9000000000000001E-2</v>
      </c>
      <c r="H216" s="254">
        <v>8.4000000000000005E-2</v>
      </c>
      <c r="I216" s="246">
        <v>7.9217099999999999E-2</v>
      </c>
      <c r="J216" s="256">
        <v>7.9299999999999995E-2</v>
      </c>
      <c r="K216" s="252">
        <v>7397600</v>
      </c>
      <c r="L216" s="252">
        <v>1650000</v>
      </c>
      <c r="M216" s="248">
        <f t="shared" si="25"/>
        <v>4.483393939393939</v>
      </c>
    </row>
    <row r="217" spans="1:13" s="249" customFormat="1" ht="12.75" customHeight="1" outlineLevel="1" x14ac:dyDescent="0.2">
      <c r="A217" s="483" t="s">
        <v>121</v>
      </c>
      <c r="B217" s="484"/>
      <c r="C217" s="484"/>
      <c r="D217" s="484"/>
      <c r="E217" s="484"/>
      <c r="F217" s="484"/>
      <c r="G217" s="484"/>
      <c r="H217" s="484"/>
      <c r="I217" s="484"/>
      <c r="J217" s="485"/>
      <c r="K217" s="257">
        <f>SUM(K210:K216)</f>
        <v>105271600</v>
      </c>
      <c r="L217" s="257">
        <f>SUM(L210:L216)</f>
        <v>24350000</v>
      </c>
      <c r="M217" s="257"/>
    </row>
    <row r="218" spans="1:13" s="249" customFormat="1" ht="12.75" customHeight="1" outlineLevel="1" x14ac:dyDescent="0.2">
      <c r="A218" s="240">
        <v>43991</v>
      </c>
      <c r="B218" s="240">
        <v>43993</v>
      </c>
      <c r="C218" s="241" t="s">
        <v>145</v>
      </c>
      <c r="D218" s="314" t="s">
        <v>210</v>
      </c>
      <c r="E218" s="313">
        <v>44154</v>
      </c>
      <c r="F218" s="317" t="s">
        <v>128</v>
      </c>
      <c r="G218" s="320">
        <v>3.71825E-2</v>
      </c>
      <c r="H218" s="320" t="s">
        <v>211</v>
      </c>
      <c r="I218" s="320" t="s">
        <v>130</v>
      </c>
      <c r="J218" s="320" t="s">
        <v>130</v>
      </c>
      <c r="K218" s="319">
        <v>76000</v>
      </c>
      <c r="L218" s="321" t="s">
        <v>130</v>
      </c>
      <c r="M218" s="318">
        <v>0</v>
      </c>
    </row>
    <row r="219" spans="1:13" s="253" customFormat="1" ht="12.75" customHeight="1" outlineLevel="1" x14ac:dyDescent="0.2">
      <c r="A219" s="250"/>
      <c r="B219" s="250"/>
      <c r="C219" s="251"/>
      <c r="D219" s="305" t="s">
        <v>49</v>
      </c>
      <c r="E219" s="301">
        <v>44576</v>
      </c>
      <c r="F219" s="304">
        <v>5.45E-2</v>
      </c>
      <c r="G219" s="304">
        <v>5.7812500000000003E-2</v>
      </c>
      <c r="H219" s="304">
        <v>6.5000000000000002E-2</v>
      </c>
      <c r="I219" s="306">
        <v>6.02035E-2</v>
      </c>
      <c r="J219" s="306">
        <v>6.0624999999999998E-2</v>
      </c>
      <c r="K219" s="316">
        <v>10352000</v>
      </c>
      <c r="L219" s="316">
        <v>4350000</v>
      </c>
      <c r="M219" s="248">
        <f t="shared" ref="M219:M223" si="26">IF(L219=0,0,K219/L219)</f>
        <v>2.3797701149425285</v>
      </c>
    </row>
    <row r="220" spans="1:13" s="253" customFormat="1" ht="12.75" customHeight="1" outlineLevel="1" x14ac:dyDescent="0.2">
      <c r="A220" s="250"/>
      <c r="B220" s="250"/>
      <c r="C220" s="251"/>
      <c r="D220" s="305" t="s">
        <v>147</v>
      </c>
      <c r="E220" s="301">
        <v>45580</v>
      </c>
      <c r="F220" s="304">
        <v>6.6250000000000003E-2</v>
      </c>
      <c r="G220" s="304">
        <v>6.5000000000000002E-2</v>
      </c>
      <c r="H220" s="304">
        <v>7.03125E-2</v>
      </c>
      <c r="I220" s="303">
        <v>6.5169599999999994E-2</v>
      </c>
      <c r="J220" s="303">
        <v>6.5312499999999996E-2</v>
      </c>
      <c r="K220" s="316">
        <v>6003000</v>
      </c>
      <c r="L220" s="316">
        <v>1250000</v>
      </c>
      <c r="M220" s="248">
        <f t="shared" si="26"/>
        <v>4.8023999999999996</v>
      </c>
    </row>
    <row r="221" spans="1:13" s="253" customFormat="1" ht="12.75" customHeight="1" outlineLevel="1" x14ac:dyDescent="0.2">
      <c r="A221" s="250"/>
      <c r="B221" s="250"/>
      <c r="C221" s="251"/>
      <c r="D221" s="305" t="s">
        <v>203</v>
      </c>
      <c r="E221" s="301">
        <v>47618</v>
      </c>
      <c r="F221" s="304">
        <v>8.1250000000000003E-2</v>
      </c>
      <c r="G221" s="304">
        <v>7.4062500000000003E-2</v>
      </c>
      <c r="H221" s="304">
        <v>8.2500000000000004E-2</v>
      </c>
      <c r="I221" s="303">
        <v>7.4432600000000002E-2</v>
      </c>
      <c r="J221" s="303">
        <v>7.4687500000000004E-2</v>
      </c>
      <c r="K221" s="316">
        <v>4199500</v>
      </c>
      <c r="L221" s="316">
        <v>550000</v>
      </c>
      <c r="M221" s="248">
        <f t="shared" si="26"/>
        <v>7.6354545454545457</v>
      </c>
    </row>
    <row r="222" spans="1:13" s="253" customFormat="1" ht="12.75" customHeight="1" outlineLevel="1" x14ac:dyDescent="0.2">
      <c r="A222" s="250"/>
      <c r="B222" s="250"/>
      <c r="C222" s="251"/>
      <c r="D222" s="308" t="s">
        <v>202</v>
      </c>
      <c r="E222" s="309">
        <v>49049</v>
      </c>
      <c r="F222" s="310">
        <v>8.6249999999999993E-2</v>
      </c>
      <c r="G222" s="310">
        <v>7.8125E-2</v>
      </c>
      <c r="H222" s="310">
        <v>8.5000000000000006E-2</v>
      </c>
      <c r="I222" s="310">
        <v>7.9916000000000001E-2</v>
      </c>
      <c r="J222" s="310">
        <v>0.08</v>
      </c>
      <c r="K222" s="316">
        <v>4388500</v>
      </c>
      <c r="L222" s="316">
        <v>2450000</v>
      </c>
      <c r="M222" s="248">
        <f t="shared" si="26"/>
        <v>1.7912244897959184</v>
      </c>
    </row>
    <row r="223" spans="1:13" s="249" customFormat="1" ht="12.75" customHeight="1" outlineLevel="1" x14ac:dyDescent="0.2">
      <c r="A223" s="250"/>
      <c r="B223" s="250"/>
      <c r="C223" s="250"/>
      <c r="D223" s="311" t="s">
        <v>148</v>
      </c>
      <c r="E223" s="307">
        <v>52336</v>
      </c>
      <c r="F223" s="310">
        <v>6.7500000000000004E-2</v>
      </c>
      <c r="G223" s="312">
        <v>8.1875000000000003E-2</v>
      </c>
      <c r="H223" s="310">
        <v>8.6874999999999994E-2</v>
      </c>
      <c r="I223" s="302">
        <v>8.2862599999999995E-2</v>
      </c>
      <c r="J223" s="312">
        <v>8.3125000000000004E-2</v>
      </c>
      <c r="K223" s="316">
        <v>3625000</v>
      </c>
      <c r="L223" s="316">
        <v>900000</v>
      </c>
      <c r="M223" s="248">
        <f t="shared" si="26"/>
        <v>4.0277777777777777</v>
      </c>
    </row>
    <row r="224" spans="1:13" s="249" customFormat="1" ht="12.75" customHeight="1" outlineLevel="1" x14ac:dyDescent="0.2">
      <c r="A224" s="483" t="s">
        <v>121</v>
      </c>
      <c r="B224" s="484"/>
      <c r="C224" s="484"/>
      <c r="D224" s="484"/>
      <c r="E224" s="484"/>
      <c r="F224" s="484"/>
      <c r="G224" s="484"/>
      <c r="H224" s="484"/>
      <c r="I224" s="484"/>
      <c r="J224" s="485"/>
      <c r="K224" s="257">
        <f>SUM(K218:K223)</f>
        <v>28644000</v>
      </c>
      <c r="L224" s="257">
        <f>SUM(L218:L223)</f>
        <v>9500000</v>
      </c>
      <c r="M224" s="257"/>
    </row>
    <row r="225" spans="1:13" s="249" customFormat="1" ht="12.75" customHeight="1" outlineLevel="1" x14ac:dyDescent="0.2">
      <c r="A225" s="240">
        <v>43998</v>
      </c>
      <c r="B225" s="240">
        <v>44000</v>
      </c>
      <c r="C225" s="241" t="s">
        <v>145</v>
      </c>
      <c r="D225" s="242" t="s">
        <v>209</v>
      </c>
      <c r="E225" s="243">
        <v>44091</v>
      </c>
      <c r="F225" s="244" t="s">
        <v>128</v>
      </c>
      <c r="G225" s="260" t="s">
        <v>130</v>
      </c>
      <c r="H225" s="260" t="s">
        <v>130</v>
      </c>
      <c r="I225" s="274" t="s">
        <v>130</v>
      </c>
      <c r="J225" s="274" t="s">
        <v>130</v>
      </c>
      <c r="K225" s="247">
        <v>0</v>
      </c>
      <c r="L225" s="247">
        <v>0</v>
      </c>
      <c r="M225" s="248">
        <f t="shared" ref="M225:M231" si="27">IF(L225=0,0,K225/L225)</f>
        <v>0</v>
      </c>
    </row>
    <row r="226" spans="1:13" s="253" customFormat="1" ht="12.75" customHeight="1" outlineLevel="1" x14ac:dyDescent="0.2">
      <c r="A226" s="250"/>
      <c r="B226" s="250"/>
      <c r="C226" s="251"/>
      <c r="D226" s="242" t="s">
        <v>164</v>
      </c>
      <c r="E226" s="243">
        <v>44259</v>
      </c>
      <c r="F226" s="244" t="s">
        <v>128</v>
      </c>
      <c r="G226" s="245">
        <v>3.6999999999999998E-2</v>
      </c>
      <c r="H226" s="245">
        <v>3.7499999999999999E-2</v>
      </c>
      <c r="I226" s="246">
        <v>3.7312499999999998E-2</v>
      </c>
      <c r="J226" s="246">
        <v>3.7499999999999999E-2</v>
      </c>
      <c r="K226" s="252">
        <v>860000</v>
      </c>
      <c r="L226" s="252">
        <v>320000</v>
      </c>
      <c r="M226" s="248">
        <f t="shared" si="27"/>
        <v>2.6875</v>
      </c>
    </row>
    <row r="227" spans="1:13" s="253" customFormat="1" ht="12.75" customHeight="1" outlineLevel="1" x14ac:dyDescent="0.2">
      <c r="A227" s="250"/>
      <c r="B227" s="250"/>
      <c r="C227" s="251"/>
      <c r="D227" s="242" t="s">
        <v>137</v>
      </c>
      <c r="E227" s="309">
        <v>45823</v>
      </c>
      <c r="F227" s="254">
        <v>6.5000000000000002E-2</v>
      </c>
      <c r="G227" s="245">
        <v>6.6100000000000006E-2</v>
      </c>
      <c r="H227" s="245">
        <v>7.2499999999999995E-2</v>
      </c>
      <c r="I227" s="246">
        <v>6.6793000000000005E-2</v>
      </c>
      <c r="J227" s="246">
        <v>6.7299999999999999E-2</v>
      </c>
      <c r="K227" s="252">
        <v>30909000</v>
      </c>
      <c r="L227" s="252">
        <v>6630000</v>
      </c>
      <c r="M227" s="248">
        <f t="shared" si="27"/>
        <v>4.6619909502262447</v>
      </c>
    </row>
    <row r="228" spans="1:13" s="253" customFormat="1" ht="12.75" customHeight="1" outlineLevel="1" x14ac:dyDescent="0.2">
      <c r="A228" s="250"/>
      <c r="B228" s="250"/>
      <c r="C228" s="251"/>
      <c r="D228" s="242" t="s">
        <v>138</v>
      </c>
      <c r="E228" s="309">
        <v>47741</v>
      </c>
      <c r="F228" s="254">
        <v>7.0000000000000007E-2</v>
      </c>
      <c r="G228" s="245">
        <v>7.0599999999999996E-2</v>
      </c>
      <c r="H228" s="245">
        <v>7.8E-2</v>
      </c>
      <c r="I228" s="246">
        <v>7.1134600000000006E-2</v>
      </c>
      <c r="J228" s="246">
        <v>7.1400000000000005E-2</v>
      </c>
      <c r="K228" s="252">
        <v>36307000</v>
      </c>
      <c r="L228" s="252">
        <v>6850000</v>
      </c>
      <c r="M228" s="248">
        <f t="shared" si="27"/>
        <v>5.3002919708029195</v>
      </c>
    </row>
    <row r="229" spans="1:13" s="253" customFormat="1" ht="12.75" customHeight="1" outlineLevel="1" x14ac:dyDescent="0.2">
      <c r="A229" s="250"/>
      <c r="B229" s="250"/>
      <c r="C229" s="251"/>
      <c r="D229" s="242" t="s">
        <v>136</v>
      </c>
      <c r="E229" s="309">
        <v>49475</v>
      </c>
      <c r="F229" s="254">
        <v>7.4999999999999997E-2</v>
      </c>
      <c r="G229" s="245">
        <v>7.5800000000000006E-2</v>
      </c>
      <c r="H229" s="245">
        <v>8.2500000000000004E-2</v>
      </c>
      <c r="I229" s="246">
        <v>7.6363799999999996E-2</v>
      </c>
      <c r="J229" s="246">
        <v>7.6499999999999999E-2</v>
      </c>
      <c r="K229" s="252">
        <v>7660600</v>
      </c>
      <c r="L229" s="252">
        <v>3150000</v>
      </c>
      <c r="M229" s="248">
        <f t="shared" si="27"/>
        <v>2.4319365079365078</v>
      </c>
    </row>
    <row r="230" spans="1:13" s="253" customFormat="1" ht="12.75" customHeight="1" outlineLevel="1" x14ac:dyDescent="0.2">
      <c r="A230" s="250"/>
      <c r="B230" s="250"/>
      <c r="C230" s="251"/>
      <c r="D230" s="242" t="s">
        <v>144</v>
      </c>
      <c r="E230" s="309">
        <v>51241</v>
      </c>
      <c r="F230" s="254">
        <v>7.4999999999999997E-2</v>
      </c>
      <c r="G230" s="245">
        <v>7.5999999999999998E-2</v>
      </c>
      <c r="H230" s="245">
        <v>7.9500000000000001E-2</v>
      </c>
      <c r="I230" s="246">
        <v>7.6480900000000004E-2</v>
      </c>
      <c r="J230" s="246">
        <v>7.6600000000000001E-2</v>
      </c>
      <c r="K230" s="252">
        <v>5480900</v>
      </c>
      <c r="L230" s="252">
        <v>2150000</v>
      </c>
      <c r="M230" s="248">
        <f t="shared" si="27"/>
        <v>2.5492558139534882</v>
      </c>
    </row>
    <row r="231" spans="1:13" s="249" customFormat="1" ht="12.75" customHeight="1" outlineLevel="1" x14ac:dyDescent="0.2">
      <c r="A231" s="250"/>
      <c r="B231" s="250"/>
      <c r="C231" s="250"/>
      <c r="D231" s="255" t="s">
        <v>134</v>
      </c>
      <c r="E231" s="307">
        <v>54193</v>
      </c>
      <c r="F231" s="254">
        <v>7.3749999999999996E-2</v>
      </c>
      <c r="G231" s="256">
        <v>7.4800000000000005E-2</v>
      </c>
      <c r="H231" s="254">
        <v>8.0500000000000002E-2</v>
      </c>
      <c r="I231" s="246">
        <v>7.76979E-2</v>
      </c>
      <c r="J231" s="256">
        <v>7.8E-2</v>
      </c>
      <c r="K231" s="252">
        <v>3605300</v>
      </c>
      <c r="L231" s="252">
        <v>1400000</v>
      </c>
      <c r="M231" s="248">
        <f t="shared" si="27"/>
        <v>2.5752142857142859</v>
      </c>
    </row>
    <row r="232" spans="1:13" s="249" customFormat="1" ht="12.75" customHeight="1" outlineLevel="1" x14ac:dyDescent="0.2">
      <c r="A232" s="483" t="s">
        <v>121</v>
      </c>
      <c r="B232" s="484"/>
      <c r="C232" s="484"/>
      <c r="D232" s="484"/>
      <c r="E232" s="484"/>
      <c r="F232" s="484"/>
      <c r="G232" s="484"/>
      <c r="H232" s="484"/>
      <c r="I232" s="484"/>
      <c r="J232" s="485"/>
      <c r="K232" s="257">
        <f>SUM(K225:K231)</f>
        <v>84822800</v>
      </c>
      <c r="L232" s="257">
        <f>SUM(L225:L231)</f>
        <v>20500000</v>
      </c>
      <c r="M232" s="257"/>
    </row>
    <row r="233" spans="1:13" s="206" customFormat="1" ht="12.75" customHeight="1" outlineLevel="1" x14ac:dyDescent="0.2">
      <c r="A233" s="301">
        <v>43998</v>
      </c>
      <c r="B233" s="301">
        <v>44005</v>
      </c>
      <c r="C233" s="174" t="s">
        <v>149</v>
      </c>
      <c r="D233" s="322" t="s">
        <v>218</v>
      </c>
      <c r="E233" s="301">
        <v>45831</v>
      </c>
      <c r="F233" s="304">
        <v>2.3E-2</v>
      </c>
      <c r="G233" s="304"/>
      <c r="H233" s="304"/>
      <c r="I233" s="303"/>
      <c r="J233" s="303"/>
      <c r="K233" s="316" t="s">
        <v>151</v>
      </c>
      <c r="L233" s="316" t="str">
        <f t="shared" ref="L233:L238" si="28">K233</f>
        <v>USD750.000.000</v>
      </c>
      <c r="M233" s="193"/>
    </row>
    <row r="234" spans="1:13" s="71" customFormat="1" ht="12.75" customHeight="1" outlineLevel="1" x14ac:dyDescent="0.2">
      <c r="A234" s="169"/>
      <c r="B234" s="169"/>
      <c r="C234" s="174"/>
      <c r="D234" s="323"/>
      <c r="E234" s="301"/>
      <c r="F234" s="304"/>
      <c r="G234" s="304"/>
      <c r="H234" s="304"/>
      <c r="I234" s="303"/>
      <c r="J234" s="303"/>
      <c r="K234" s="192">
        <v>10620000</v>
      </c>
      <c r="L234" s="192">
        <f t="shared" si="28"/>
        <v>10620000</v>
      </c>
      <c r="M234" s="193"/>
    </row>
    <row r="235" spans="1:13" s="71" customFormat="1" ht="12.75" customHeight="1" outlineLevel="1" x14ac:dyDescent="0.2">
      <c r="A235" s="169"/>
      <c r="B235" s="301">
        <v>44005</v>
      </c>
      <c r="C235" s="174"/>
      <c r="D235" s="322" t="s">
        <v>219</v>
      </c>
      <c r="E235" s="301">
        <v>47657</v>
      </c>
      <c r="F235" s="304">
        <v>2.8000000000000001E-2</v>
      </c>
      <c r="G235" s="304"/>
      <c r="H235" s="304"/>
      <c r="I235" s="303"/>
      <c r="J235" s="303"/>
      <c r="K235" s="316" t="s">
        <v>117</v>
      </c>
      <c r="L235" s="316" t="str">
        <f t="shared" si="28"/>
        <v>USD1.000.000.000</v>
      </c>
      <c r="M235" s="193"/>
    </row>
    <row r="236" spans="1:13" s="71" customFormat="1" ht="12.75" customHeight="1" outlineLevel="1" x14ac:dyDescent="0.2">
      <c r="A236" s="169"/>
      <c r="B236" s="169"/>
      <c r="C236" s="174"/>
      <c r="D236" s="323"/>
      <c r="E236" s="301"/>
      <c r="F236" s="304"/>
      <c r="G236" s="304"/>
      <c r="H236" s="304"/>
      <c r="I236" s="303"/>
      <c r="J236" s="303"/>
      <c r="K236" s="192">
        <v>14160000</v>
      </c>
      <c r="L236" s="192">
        <f t="shared" si="28"/>
        <v>14160000</v>
      </c>
      <c r="M236" s="193"/>
    </row>
    <row r="237" spans="1:13" s="71" customFormat="1" ht="12.75" customHeight="1" outlineLevel="1" x14ac:dyDescent="0.2">
      <c r="A237" s="169"/>
      <c r="B237" s="301">
        <v>44005</v>
      </c>
      <c r="C237" s="174"/>
      <c r="D237" s="322" t="s">
        <v>220</v>
      </c>
      <c r="E237" s="301">
        <v>54962</v>
      </c>
      <c r="F237" s="304">
        <v>3.7999999999999999E-2</v>
      </c>
      <c r="G237" s="304"/>
      <c r="H237" s="304"/>
      <c r="I237" s="303"/>
      <c r="J237" s="303"/>
      <c r="K237" s="316" t="s">
        <v>151</v>
      </c>
      <c r="L237" s="316" t="str">
        <f t="shared" si="28"/>
        <v>USD750.000.000</v>
      </c>
      <c r="M237" s="193"/>
    </row>
    <row r="238" spans="1:13" s="71" customFormat="1" ht="12.75" customHeight="1" outlineLevel="1" x14ac:dyDescent="0.2">
      <c r="A238" s="169"/>
      <c r="B238" s="169"/>
      <c r="C238" s="174"/>
      <c r="D238" s="305"/>
      <c r="E238" s="301"/>
      <c r="F238" s="304"/>
      <c r="G238" s="304"/>
      <c r="H238" s="304"/>
      <c r="I238" s="303"/>
      <c r="J238" s="303"/>
      <c r="K238" s="192">
        <v>10620000</v>
      </c>
      <c r="L238" s="192">
        <f t="shared" si="28"/>
        <v>10620000</v>
      </c>
      <c r="M238" s="193"/>
    </row>
    <row r="239" spans="1:13" s="71" customFormat="1" ht="12.75" customHeight="1" outlineLevel="1" x14ac:dyDescent="0.2">
      <c r="A239" s="481" t="s">
        <v>121</v>
      </c>
      <c r="B239" s="481"/>
      <c r="C239" s="481"/>
      <c r="D239" s="481"/>
      <c r="E239" s="481"/>
      <c r="F239" s="481"/>
      <c r="G239" s="481"/>
      <c r="H239" s="481"/>
      <c r="I239" s="481"/>
      <c r="J239" s="481"/>
      <c r="K239" s="325">
        <f>SUM(K234,K236,K238)</f>
        <v>35400000</v>
      </c>
      <c r="L239" s="324">
        <f>SUM(L234,L236,L238)</f>
        <v>35400000</v>
      </c>
      <c r="M239" s="193"/>
    </row>
    <row r="240" spans="1:13" s="249" customFormat="1" ht="12.75" customHeight="1" outlineLevel="1" x14ac:dyDescent="0.2">
      <c r="A240" s="307">
        <v>44005</v>
      </c>
      <c r="B240" s="307">
        <v>44007</v>
      </c>
      <c r="C240" s="241" t="s">
        <v>145</v>
      </c>
      <c r="D240" s="326" t="s">
        <v>213</v>
      </c>
      <c r="E240" s="301">
        <v>44189</v>
      </c>
      <c r="F240" s="317" t="s">
        <v>128</v>
      </c>
      <c r="G240" s="320">
        <v>3.90625E-2</v>
      </c>
      <c r="H240" s="320" t="s">
        <v>211</v>
      </c>
      <c r="I240" s="320" t="s">
        <v>130</v>
      </c>
      <c r="J240" s="320" t="s">
        <v>130</v>
      </c>
      <c r="K240" s="319">
        <v>4951000</v>
      </c>
      <c r="L240" s="321" t="s">
        <v>130</v>
      </c>
      <c r="M240" s="318">
        <v>0</v>
      </c>
    </row>
    <row r="241" spans="1:13" s="253" customFormat="1" ht="12.75" customHeight="1" outlineLevel="1" x14ac:dyDescent="0.2">
      <c r="A241" s="250"/>
      <c r="B241" s="250"/>
      <c r="C241" s="251"/>
      <c r="D241" s="305" t="s">
        <v>49</v>
      </c>
      <c r="E241" s="301">
        <v>44576</v>
      </c>
      <c r="F241" s="304">
        <v>5.45E-2</v>
      </c>
      <c r="G241" s="304">
        <v>5.5937500000000001E-2</v>
      </c>
      <c r="H241" s="304">
        <v>6.1874999999999999E-2</v>
      </c>
      <c r="I241" s="306">
        <v>5.6387100000000002E-2</v>
      </c>
      <c r="J241" s="306">
        <v>5.6562500000000002E-2</v>
      </c>
      <c r="K241" s="316">
        <v>17301000</v>
      </c>
      <c r="L241" s="316">
        <v>4200000</v>
      </c>
      <c r="M241" s="318">
        <f t="shared" ref="M241:M245" si="29">IF(L241=0,0,K241/L241)</f>
        <v>4.1192857142857147</v>
      </c>
    </row>
    <row r="242" spans="1:13" s="253" customFormat="1" ht="12.75" customHeight="1" outlineLevel="1" x14ac:dyDescent="0.2">
      <c r="A242" s="250"/>
      <c r="B242" s="250"/>
      <c r="C242" s="251"/>
      <c r="D242" s="305" t="s">
        <v>147</v>
      </c>
      <c r="E242" s="301">
        <v>45580</v>
      </c>
      <c r="F242" s="304">
        <v>6.6250000000000003E-2</v>
      </c>
      <c r="G242" s="304">
        <v>6.3750000000000001E-2</v>
      </c>
      <c r="H242" s="304">
        <v>6.7187499999999997E-2</v>
      </c>
      <c r="I242" s="303">
        <v>6.4998399999999998E-2</v>
      </c>
      <c r="J242" s="303">
        <v>6.5312499999999996E-2</v>
      </c>
      <c r="K242" s="316">
        <v>8460700</v>
      </c>
      <c r="L242" s="316">
        <v>2350000</v>
      </c>
      <c r="M242" s="318">
        <f t="shared" si="29"/>
        <v>3.6002978723404255</v>
      </c>
    </row>
    <row r="243" spans="1:13" s="253" customFormat="1" ht="12.75" customHeight="1" outlineLevel="1" x14ac:dyDescent="0.2">
      <c r="A243" s="250"/>
      <c r="B243" s="250"/>
      <c r="C243" s="251"/>
      <c r="D243" s="305" t="s">
        <v>203</v>
      </c>
      <c r="E243" s="301">
        <v>47618</v>
      </c>
      <c r="F243" s="304">
        <v>8.1250000000000003E-2</v>
      </c>
      <c r="G243" s="304">
        <v>7.3437500000000003E-2</v>
      </c>
      <c r="H243" s="304">
        <v>8.1250000000000003E-2</v>
      </c>
      <c r="I243" s="303">
        <v>7.4395199999999995E-2</v>
      </c>
      <c r="J243" s="303">
        <v>7.4687500000000004E-2</v>
      </c>
      <c r="K243" s="316">
        <v>3296500</v>
      </c>
      <c r="L243" s="316">
        <v>1400000</v>
      </c>
      <c r="M243" s="318">
        <f t="shared" si="29"/>
        <v>2.3546428571428573</v>
      </c>
    </row>
    <row r="244" spans="1:13" s="253" customFormat="1" ht="12.75" customHeight="1" outlineLevel="1" x14ac:dyDescent="0.2">
      <c r="A244" s="250"/>
      <c r="B244" s="250"/>
      <c r="C244" s="251"/>
      <c r="D244" s="308" t="s">
        <v>202</v>
      </c>
      <c r="E244" s="309">
        <v>49049</v>
      </c>
      <c r="F244" s="310">
        <v>8.6249999999999993E-2</v>
      </c>
      <c r="G244" s="310">
        <v>7.8750000000000001E-2</v>
      </c>
      <c r="H244" s="310">
        <v>8.6249999999999993E-2</v>
      </c>
      <c r="I244" s="310">
        <v>7.9373899999999997E-2</v>
      </c>
      <c r="J244" s="310">
        <v>7.9687499999999994E-2</v>
      </c>
      <c r="K244" s="316">
        <v>1493000</v>
      </c>
      <c r="L244" s="316">
        <v>400000</v>
      </c>
      <c r="M244" s="318">
        <f t="shared" si="29"/>
        <v>3.7324999999999999</v>
      </c>
    </row>
    <row r="245" spans="1:13" s="249" customFormat="1" ht="12.75" customHeight="1" outlineLevel="1" x14ac:dyDescent="0.2">
      <c r="A245" s="250"/>
      <c r="B245" s="250"/>
      <c r="C245" s="250"/>
      <c r="D245" s="311" t="s">
        <v>148</v>
      </c>
      <c r="E245" s="307">
        <v>52336</v>
      </c>
      <c r="F245" s="310">
        <v>6.7500000000000004E-2</v>
      </c>
      <c r="G245" s="312">
        <v>8.0312499999999995E-2</v>
      </c>
      <c r="H245" s="310">
        <v>8.3437499999999998E-2</v>
      </c>
      <c r="I245" s="302">
        <v>8.1696000000000005E-2</v>
      </c>
      <c r="J245" s="312">
        <v>8.1875000000000003E-2</v>
      </c>
      <c r="K245" s="316">
        <v>3347200</v>
      </c>
      <c r="L245" s="316">
        <v>1150000</v>
      </c>
      <c r="M245" s="318">
        <f t="shared" si="29"/>
        <v>2.9106086956521739</v>
      </c>
    </row>
    <row r="246" spans="1:13" s="249" customFormat="1" ht="12.75" customHeight="1" outlineLevel="1" x14ac:dyDescent="0.2">
      <c r="A246" s="483" t="s">
        <v>121</v>
      </c>
      <c r="B246" s="484"/>
      <c r="C246" s="484"/>
      <c r="D246" s="484"/>
      <c r="E246" s="484"/>
      <c r="F246" s="484"/>
      <c r="G246" s="484"/>
      <c r="H246" s="484"/>
      <c r="I246" s="484"/>
      <c r="J246" s="485"/>
      <c r="K246" s="257">
        <f>SUM(K240:K245)</f>
        <v>38849400</v>
      </c>
      <c r="L246" s="257">
        <f>SUM(L240:L245)</f>
        <v>9500000</v>
      </c>
      <c r="M246" s="257"/>
    </row>
    <row r="247" spans="1:13" s="180" customFormat="1" ht="12.75" customHeight="1" x14ac:dyDescent="0.2">
      <c r="A247" s="489" t="s">
        <v>208</v>
      </c>
      <c r="B247" s="489"/>
      <c r="C247" s="489"/>
      <c r="D247" s="489"/>
      <c r="E247" s="489"/>
      <c r="F247" s="489"/>
      <c r="G247" s="489"/>
      <c r="H247" s="489"/>
      <c r="I247" s="489"/>
      <c r="J247" s="489"/>
      <c r="K247" s="182">
        <f>SUM(K217,K224,K232,K239,K246)</f>
        <v>292987800</v>
      </c>
      <c r="L247" s="315">
        <f>SUM(L217,L224,L232,L239,L246)</f>
        <v>99250000</v>
      </c>
      <c r="M247" s="181"/>
    </row>
    <row r="248" spans="1:13" s="180" customFormat="1" ht="12.75" customHeight="1" x14ac:dyDescent="0.2">
      <c r="A248" s="468" t="s">
        <v>217</v>
      </c>
      <c r="B248" s="469"/>
      <c r="C248" s="469"/>
      <c r="D248" s="469"/>
      <c r="E248" s="469"/>
      <c r="F248" s="469"/>
      <c r="G248" s="469"/>
      <c r="H248" s="469"/>
      <c r="I248" s="469"/>
      <c r="J248" s="470"/>
      <c r="K248" s="182">
        <f>SUM(K209,K247)</f>
        <v>1734457171</v>
      </c>
      <c r="L248" s="182">
        <f>SUM(L209,L247)</f>
        <v>630290071</v>
      </c>
      <c r="M248" s="181"/>
    </row>
    <row r="249" spans="1:13" s="249" customFormat="1" ht="12.75" customHeight="1" outlineLevel="1" x14ac:dyDescent="0.2">
      <c r="A249" s="307">
        <v>44012</v>
      </c>
      <c r="B249" s="307">
        <v>44014</v>
      </c>
      <c r="C249" s="241" t="s">
        <v>145</v>
      </c>
      <c r="D249" s="308" t="s">
        <v>214</v>
      </c>
      <c r="E249" s="309">
        <v>44105</v>
      </c>
      <c r="F249" s="317" t="s">
        <v>128</v>
      </c>
      <c r="G249" s="320" t="s">
        <v>130</v>
      </c>
      <c r="H249" s="320" t="s">
        <v>130</v>
      </c>
      <c r="I249" s="274" t="s">
        <v>130</v>
      </c>
      <c r="J249" s="274" t="s">
        <v>130</v>
      </c>
      <c r="K249" s="247">
        <v>0</v>
      </c>
      <c r="L249" s="247">
        <v>0</v>
      </c>
      <c r="M249" s="318">
        <f t="shared" ref="M249:M255" si="30">IF(L249=0,0,K249/L249)</f>
        <v>0</v>
      </c>
    </row>
    <row r="250" spans="1:13" s="253" customFormat="1" ht="12.75" customHeight="1" outlineLevel="1" x14ac:dyDescent="0.2">
      <c r="A250" s="250"/>
      <c r="B250" s="250"/>
      <c r="C250" s="251"/>
      <c r="D250" s="308" t="s">
        <v>215</v>
      </c>
      <c r="E250" s="309">
        <v>44378</v>
      </c>
      <c r="F250" s="317" t="s">
        <v>128</v>
      </c>
      <c r="G250" s="245">
        <v>3.7499999999999999E-2</v>
      </c>
      <c r="H250" s="245">
        <v>3.95E-2</v>
      </c>
      <c r="I250" s="246">
        <v>3.7668800000000002E-2</v>
      </c>
      <c r="J250" s="246">
        <v>3.7999999999999999E-2</v>
      </c>
      <c r="K250" s="319">
        <v>1100000</v>
      </c>
      <c r="L250" s="319">
        <v>640000</v>
      </c>
      <c r="M250" s="318">
        <f t="shared" si="30"/>
        <v>1.71875</v>
      </c>
    </row>
    <row r="251" spans="1:13" s="253" customFormat="1" ht="12.75" customHeight="1" outlineLevel="1" x14ac:dyDescent="0.2">
      <c r="A251" s="250"/>
      <c r="B251" s="250"/>
      <c r="C251" s="251"/>
      <c r="D251" s="308" t="s">
        <v>137</v>
      </c>
      <c r="E251" s="309">
        <v>45823</v>
      </c>
      <c r="F251" s="310">
        <v>6.5000000000000002E-2</v>
      </c>
      <c r="G251" s="245">
        <v>6.4699999999999994E-2</v>
      </c>
      <c r="H251" s="245">
        <v>6.7500000000000004E-2</v>
      </c>
      <c r="I251" s="246">
        <v>6.5106200000000003E-2</v>
      </c>
      <c r="J251" s="246">
        <v>6.5199999999999994E-2</v>
      </c>
      <c r="K251" s="319">
        <v>27944000</v>
      </c>
      <c r="L251" s="319">
        <v>7400000</v>
      </c>
      <c r="M251" s="318">
        <f t="shared" si="30"/>
        <v>3.7762162162162163</v>
      </c>
    </row>
    <row r="252" spans="1:13" s="253" customFormat="1" ht="12.75" customHeight="1" outlineLevel="1" x14ac:dyDescent="0.2">
      <c r="A252" s="250"/>
      <c r="B252" s="250"/>
      <c r="C252" s="251"/>
      <c r="D252" s="308" t="s">
        <v>138</v>
      </c>
      <c r="E252" s="309">
        <v>47741</v>
      </c>
      <c r="F252" s="310">
        <v>7.0000000000000007E-2</v>
      </c>
      <c r="G252" s="245">
        <v>7.1300000000000002E-2</v>
      </c>
      <c r="H252" s="245">
        <v>7.4999999999999997E-2</v>
      </c>
      <c r="I252" s="246">
        <v>7.1893299999999993E-2</v>
      </c>
      <c r="J252" s="246">
        <v>7.1999999999999995E-2</v>
      </c>
      <c r="K252" s="319">
        <v>23473100</v>
      </c>
      <c r="L252" s="319">
        <v>5410000</v>
      </c>
      <c r="M252" s="318">
        <f t="shared" si="30"/>
        <v>4.3388354898336416</v>
      </c>
    </row>
    <row r="253" spans="1:13" s="253" customFormat="1" ht="12.75" customHeight="1" outlineLevel="1" x14ac:dyDescent="0.2">
      <c r="A253" s="250"/>
      <c r="B253" s="250"/>
      <c r="C253" s="251"/>
      <c r="D253" s="308" t="s">
        <v>136</v>
      </c>
      <c r="E253" s="309">
        <v>49475</v>
      </c>
      <c r="F253" s="310">
        <v>7.4999999999999997E-2</v>
      </c>
      <c r="G253" s="245">
        <v>7.5300000000000006E-2</v>
      </c>
      <c r="H253" s="245">
        <v>7.7200000000000005E-2</v>
      </c>
      <c r="I253" s="246">
        <v>7.6190800000000003E-2</v>
      </c>
      <c r="J253" s="246">
        <v>7.6300000000000007E-2</v>
      </c>
      <c r="K253" s="319">
        <v>8687600</v>
      </c>
      <c r="L253" s="319">
        <v>3050000</v>
      </c>
      <c r="M253" s="318">
        <f t="shared" si="30"/>
        <v>2.8483934426229509</v>
      </c>
    </row>
    <row r="254" spans="1:13" s="253" customFormat="1" ht="12.75" customHeight="1" outlineLevel="1" x14ac:dyDescent="0.2">
      <c r="A254" s="250"/>
      <c r="B254" s="250"/>
      <c r="C254" s="251"/>
      <c r="D254" s="308" t="s">
        <v>144</v>
      </c>
      <c r="E254" s="309">
        <v>51241</v>
      </c>
      <c r="F254" s="310">
        <v>7.4999999999999997E-2</v>
      </c>
      <c r="G254" s="245">
        <v>7.5700000000000003E-2</v>
      </c>
      <c r="H254" s="245">
        <v>7.7899999999999997E-2</v>
      </c>
      <c r="I254" s="246">
        <v>7.6390299999999994E-2</v>
      </c>
      <c r="J254" s="246">
        <v>7.6499999999999999E-2</v>
      </c>
      <c r="K254" s="319">
        <v>5029800</v>
      </c>
      <c r="L254" s="319">
        <v>2250000</v>
      </c>
      <c r="M254" s="318">
        <f t="shared" si="30"/>
        <v>2.2354666666666665</v>
      </c>
    </row>
    <row r="255" spans="1:13" s="249" customFormat="1" ht="12.75" customHeight="1" outlineLevel="1" x14ac:dyDescent="0.2">
      <c r="A255" s="250"/>
      <c r="B255" s="250"/>
      <c r="C255" s="250"/>
      <c r="D255" s="311" t="s">
        <v>134</v>
      </c>
      <c r="E255" s="307">
        <v>54193</v>
      </c>
      <c r="F255" s="310">
        <v>7.3749999999999996E-2</v>
      </c>
      <c r="G255" s="312">
        <v>7.6600000000000001E-2</v>
      </c>
      <c r="H255" s="310">
        <v>7.8600000000000003E-2</v>
      </c>
      <c r="I255" s="246">
        <v>7.7499999999999999E-2</v>
      </c>
      <c r="J255" s="312">
        <v>7.7600000000000002E-2</v>
      </c>
      <c r="K255" s="319">
        <v>5798100</v>
      </c>
      <c r="L255" s="319">
        <v>1750000</v>
      </c>
      <c r="M255" s="318">
        <f t="shared" si="30"/>
        <v>3.3132000000000001</v>
      </c>
    </row>
    <row r="256" spans="1:13" s="249" customFormat="1" ht="12.75" customHeight="1" outlineLevel="1" x14ac:dyDescent="0.2">
      <c r="A256" s="490" t="s">
        <v>121</v>
      </c>
      <c r="B256" s="491"/>
      <c r="C256" s="491"/>
      <c r="D256" s="491"/>
      <c r="E256" s="491"/>
      <c r="F256" s="491"/>
      <c r="G256" s="491"/>
      <c r="H256" s="491"/>
      <c r="I256" s="491"/>
      <c r="J256" s="492"/>
      <c r="K256" s="349">
        <f>SUM(K249:K255)</f>
        <v>72032600</v>
      </c>
      <c r="L256" s="349">
        <f>SUM(L249:L255)</f>
        <v>20500000</v>
      </c>
      <c r="M256" s="257"/>
    </row>
    <row r="257" spans="1:13" s="253" customFormat="1" ht="12.75" customHeight="1" outlineLevel="1" x14ac:dyDescent="0.2">
      <c r="A257" s="293">
        <v>44013</v>
      </c>
      <c r="B257" s="293">
        <v>44015</v>
      </c>
      <c r="C257" s="350" t="s">
        <v>170</v>
      </c>
      <c r="D257" s="351" t="s">
        <v>196</v>
      </c>
      <c r="E257" s="352">
        <v>45061</v>
      </c>
      <c r="F257" s="353">
        <v>6.5000000000000002E-2</v>
      </c>
      <c r="G257" s="354" t="s">
        <v>130</v>
      </c>
      <c r="H257" s="354" t="s">
        <v>130</v>
      </c>
      <c r="I257" s="355" t="s">
        <v>130</v>
      </c>
      <c r="J257" s="354" t="s">
        <v>130</v>
      </c>
      <c r="K257" s="356">
        <v>250000</v>
      </c>
      <c r="L257" s="356">
        <v>250000</v>
      </c>
      <c r="M257" s="318">
        <f t="shared" ref="M257:M258" si="31">IF(L257=0,0,K257/L257)</f>
        <v>1</v>
      </c>
    </row>
    <row r="258" spans="1:13" s="253" customFormat="1" ht="12.75" customHeight="1" outlineLevel="1" x14ac:dyDescent="0.2">
      <c r="A258" s="338"/>
      <c r="B258" s="331"/>
      <c r="C258" s="357"/>
      <c r="D258" s="358" t="s">
        <v>195</v>
      </c>
      <c r="E258" s="359">
        <v>45945</v>
      </c>
      <c r="F258" s="360">
        <v>6.1249999999999999E-2</v>
      </c>
      <c r="G258" s="361" t="s">
        <v>130</v>
      </c>
      <c r="H258" s="361" t="s">
        <v>130</v>
      </c>
      <c r="I258" s="362" t="s">
        <v>130</v>
      </c>
      <c r="J258" s="361" t="s">
        <v>130</v>
      </c>
      <c r="K258" s="363">
        <v>250000</v>
      </c>
      <c r="L258" s="363">
        <v>250000</v>
      </c>
      <c r="M258" s="318">
        <f t="shared" si="31"/>
        <v>1</v>
      </c>
    </row>
    <row r="259" spans="1:13" s="249" customFormat="1" ht="12.75" customHeight="1" outlineLevel="1" x14ac:dyDescent="0.2">
      <c r="A259" s="493" t="s">
        <v>121</v>
      </c>
      <c r="B259" s="494"/>
      <c r="C259" s="494"/>
      <c r="D259" s="494"/>
      <c r="E259" s="494"/>
      <c r="F259" s="494"/>
      <c r="G259" s="494"/>
      <c r="H259" s="494"/>
      <c r="I259" s="494"/>
      <c r="J259" s="495"/>
      <c r="K259" s="273">
        <f>SUM(K257:K258)</f>
        <v>500000</v>
      </c>
      <c r="L259" s="273">
        <f>SUM(L257:L258)</f>
        <v>500000</v>
      </c>
      <c r="M259" s="273"/>
    </row>
    <row r="260" spans="1:13" s="206" customFormat="1" ht="12.75" customHeight="1" outlineLevel="1" x14ac:dyDescent="0.2">
      <c r="A260" s="313">
        <v>44014</v>
      </c>
      <c r="B260" s="313">
        <v>44020</v>
      </c>
      <c r="C260" s="282" t="s">
        <v>149</v>
      </c>
      <c r="D260" s="364" t="s">
        <v>235</v>
      </c>
      <c r="E260" s="313">
        <v>45114</v>
      </c>
      <c r="F260" s="365">
        <v>1.1299999999999999E-2</v>
      </c>
      <c r="G260" s="365"/>
      <c r="H260" s="365"/>
      <c r="I260" s="366"/>
      <c r="J260" s="366"/>
      <c r="K260" s="367" t="s">
        <v>240</v>
      </c>
      <c r="L260" s="367" t="s">
        <v>240</v>
      </c>
      <c r="M260" s="368"/>
    </row>
    <row r="261" spans="1:13" s="71" customFormat="1" ht="12.75" customHeight="1" outlineLevel="1" x14ac:dyDescent="0.2">
      <c r="A261" s="169"/>
      <c r="B261" s="169"/>
      <c r="C261" s="174"/>
      <c r="D261" s="305"/>
      <c r="E261" s="301"/>
      <c r="F261" s="304"/>
      <c r="G261" s="304"/>
      <c r="H261" s="304"/>
      <c r="I261" s="303"/>
      <c r="J261" s="303"/>
      <c r="K261" s="192">
        <f>134.3429*50700000000/1000000</f>
        <v>6811185.0299999993</v>
      </c>
      <c r="L261" s="192">
        <f>134.3429*50700000000/1000000</f>
        <v>6811185.0299999993</v>
      </c>
      <c r="M261" s="193"/>
    </row>
    <row r="262" spans="1:13" s="71" customFormat="1" ht="12.75" customHeight="1" outlineLevel="1" x14ac:dyDescent="0.2">
      <c r="A262" s="169"/>
      <c r="B262" s="301">
        <v>44020</v>
      </c>
      <c r="C262" s="174"/>
      <c r="D262" s="305" t="s">
        <v>236</v>
      </c>
      <c r="E262" s="301">
        <v>45846</v>
      </c>
      <c r="F262" s="304">
        <v>1.35E-2</v>
      </c>
      <c r="G262" s="304"/>
      <c r="H262" s="304"/>
      <c r="I262" s="303"/>
      <c r="J262" s="303"/>
      <c r="K262" s="316" t="s">
        <v>241</v>
      </c>
      <c r="L262" s="316" t="s">
        <v>241</v>
      </c>
      <c r="M262" s="193"/>
    </row>
    <row r="263" spans="1:13" s="71" customFormat="1" ht="12.75" customHeight="1" outlineLevel="1" x14ac:dyDescent="0.2">
      <c r="A263" s="169"/>
      <c r="B263" s="169"/>
      <c r="C263" s="174"/>
      <c r="D263" s="305"/>
      <c r="E263" s="301"/>
      <c r="F263" s="304"/>
      <c r="G263" s="304"/>
      <c r="H263" s="304"/>
      <c r="I263" s="303"/>
      <c r="J263" s="303"/>
      <c r="K263" s="192">
        <f>134.3429*24300000000/1000000</f>
        <v>3264532.4699999997</v>
      </c>
      <c r="L263" s="192">
        <f>134.3429*24300000000/1000000</f>
        <v>3264532.4699999997</v>
      </c>
      <c r="M263" s="193"/>
    </row>
    <row r="264" spans="1:13" s="71" customFormat="1" ht="12.75" customHeight="1" outlineLevel="1" x14ac:dyDescent="0.2">
      <c r="A264" s="169"/>
      <c r="B264" s="301">
        <v>44020</v>
      </c>
      <c r="C264" s="174"/>
      <c r="D264" s="305" t="s">
        <v>237</v>
      </c>
      <c r="E264" s="301">
        <v>46576</v>
      </c>
      <c r="F264" s="304">
        <v>1.4800000000000001E-2</v>
      </c>
      <c r="G264" s="304"/>
      <c r="H264" s="304"/>
      <c r="I264" s="303"/>
      <c r="J264" s="303"/>
      <c r="K264" s="316" t="s">
        <v>242</v>
      </c>
      <c r="L264" s="316" t="s">
        <v>242</v>
      </c>
      <c r="M264" s="193"/>
    </row>
    <row r="265" spans="1:13" s="71" customFormat="1" ht="12.75" customHeight="1" outlineLevel="1" x14ac:dyDescent="0.2">
      <c r="A265" s="169"/>
      <c r="B265" s="169"/>
      <c r="C265" s="174"/>
      <c r="D265" s="305"/>
      <c r="E265" s="301"/>
      <c r="F265" s="304"/>
      <c r="G265" s="304"/>
      <c r="H265" s="304"/>
      <c r="I265" s="303"/>
      <c r="J265" s="303"/>
      <c r="K265" s="192">
        <f>134.3429*10100000000/1000000</f>
        <v>1356863.2899999998</v>
      </c>
      <c r="L265" s="192">
        <f>134.3429*10100000000/1000000</f>
        <v>1356863.2899999998</v>
      </c>
      <c r="M265" s="193"/>
    </row>
    <row r="266" spans="1:13" s="71" customFormat="1" ht="12.75" customHeight="1" outlineLevel="1" x14ac:dyDescent="0.2">
      <c r="A266" s="169"/>
      <c r="B266" s="301">
        <v>44020</v>
      </c>
      <c r="C266" s="174"/>
      <c r="D266" s="305" t="s">
        <v>238</v>
      </c>
      <c r="E266" s="301">
        <v>47672</v>
      </c>
      <c r="F266" s="304">
        <v>1.5900000000000001E-2</v>
      </c>
      <c r="G266" s="304"/>
      <c r="H266" s="304"/>
      <c r="I266" s="303"/>
      <c r="J266" s="303"/>
      <c r="K266" s="316" t="s">
        <v>243</v>
      </c>
      <c r="L266" s="316" t="s">
        <v>243</v>
      </c>
      <c r="M266" s="193"/>
    </row>
    <row r="267" spans="1:13" s="71" customFormat="1" ht="12.75" customHeight="1" outlineLevel="1" x14ac:dyDescent="0.2">
      <c r="A267" s="169"/>
      <c r="B267" s="169"/>
      <c r="C267" s="174"/>
      <c r="D267" s="305"/>
      <c r="E267" s="301"/>
      <c r="F267" s="304"/>
      <c r="G267" s="304"/>
      <c r="H267" s="304"/>
      <c r="I267" s="303"/>
      <c r="J267" s="303"/>
      <c r="K267" s="192">
        <f>134.3429*13400000000/1000000</f>
        <v>1800194.8599999999</v>
      </c>
      <c r="L267" s="192">
        <f>134.3429*13400000000/1000000</f>
        <v>1800194.8599999999</v>
      </c>
      <c r="M267" s="193"/>
    </row>
    <row r="268" spans="1:13" s="71" customFormat="1" ht="12.75" customHeight="1" outlineLevel="1" x14ac:dyDescent="0.2">
      <c r="A268" s="169"/>
      <c r="B268" s="301">
        <v>44020</v>
      </c>
      <c r="C268" s="174"/>
      <c r="D268" s="305" t="s">
        <v>239</v>
      </c>
      <c r="E268" s="301">
        <v>51323</v>
      </c>
      <c r="F268" s="304">
        <v>1.7999999999999999E-2</v>
      </c>
      <c r="G268" s="304"/>
      <c r="H268" s="304"/>
      <c r="I268" s="303"/>
      <c r="J268" s="303"/>
      <c r="K268" s="316" t="s">
        <v>244</v>
      </c>
      <c r="L268" s="316" t="s">
        <v>244</v>
      </c>
      <c r="M268" s="193"/>
    </row>
    <row r="269" spans="1:13" s="71" customFormat="1" ht="12.75" customHeight="1" outlineLevel="1" x14ac:dyDescent="0.2">
      <c r="A269" s="169"/>
      <c r="B269" s="169"/>
      <c r="C269" s="174"/>
      <c r="D269" s="305"/>
      <c r="E269" s="301"/>
      <c r="F269" s="304"/>
      <c r="G269" s="304"/>
      <c r="H269" s="304"/>
      <c r="I269" s="303"/>
      <c r="J269" s="303"/>
      <c r="K269" s="369">
        <f>134.3429*1500000000/1000000</f>
        <v>201514.34999999998</v>
      </c>
      <c r="L269" s="369">
        <f>134.3429*1500000000/1000000</f>
        <v>201514.34999999998</v>
      </c>
      <c r="M269" s="193"/>
    </row>
    <row r="270" spans="1:13" s="249" customFormat="1" ht="12.75" customHeight="1" outlineLevel="1" x14ac:dyDescent="0.2">
      <c r="A270" s="490" t="s">
        <v>121</v>
      </c>
      <c r="B270" s="491"/>
      <c r="C270" s="491"/>
      <c r="D270" s="491"/>
      <c r="E270" s="491"/>
      <c r="F270" s="491"/>
      <c r="G270" s="491"/>
      <c r="H270" s="491"/>
      <c r="I270" s="491"/>
      <c r="J270" s="492"/>
      <c r="K270" s="349">
        <f>SUM(K261,K263,K265,K267,K269)</f>
        <v>13434289.999999998</v>
      </c>
      <c r="L270" s="349">
        <f>SUM(L261,L263,L265,L267,L269)</f>
        <v>13434289.999999998</v>
      </c>
      <c r="M270" s="349"/>
    </row>
    <row r="271" spans="1:13" s="249" customFormat="1" ht="12.75" customHeight="1" outlineLevel="1" x14ac:dyDescent="0.2">
      <c r="A271" s="293">
        <v>44019</v>
      </c>
      <c r="B271" s="293">
        <v>44021</v>
      </c>
      <c r="C271" s="295" t="s">
        <v>145</v>
      </c>
      <c r="D271" s="336" t="s">
        <v>180</v>
      </c>
      <c r="E271" s="208">
        <v>44204</v>
      </c>
      <c r="F271" s="339" t="s">
        <v>128</v>
      </c>
      <c r="G271" s="332" t="s">
        <v>222</v>
      </c>
      <c r="H271" s="332" t="s">
        <v>225</v>
      </c>
      <c r="I271" s="345" t="s">
        <v>227</v>
      </c>
      <c r="J271" s="343" t="s">
        <v>232</v>
      </c>
      <c r="K271" s="370">
        <v>491000</v>
      </c>
      <c r="L271" s="371">
        <v>140000</v>
      </c>
      <c r="M271" s="328">
        <f t="shared" ref="M271:M275" si="32">IF(L271=0,0,K271/L271)</f>
        <v>3.5071428571428571</v>
      </c>
    </row>
    <row r="272" spans="1:13" s="253" customFormat="1" ht="12.75" customHeight="1" outlineLevel="1" x14ac:dyDescent="0.2">
      <c r="A272" s="250"/>
      <c r="B272" s="250"/>
      <c r="C272" s="250"/>
      <c r="D272" s="305" t="s">
        <v>49</v>
      </c>
      <c r="E272" s="301">
        <v>44576</v>
      </c>
      <c r="F272" s="304">
        <v>5.45E-2</v>
      </c>
      <c r="G272" s="333" t="s">
        <v>223</v>
      </c>
      <c r="H272" s="334">
        <v>5.8125000000000003E-2</v>
      </c>
      <c r="I272" s="346" t="s">
        <v>228</v>
      </c>
      <c r="J272" s="344" t="s">
        <v>233</v>
      </c>
      <c r="K272" s="372">
        <v>19755000</v>
      </c>
      <c r="L272" s="373">
        <v>4260000</v>
      </c>
      <c r="M272" s="328">
        <f t="shared" si="32"/>
        <v>4.637323943661972</v>
      </c>
    </row>
    <row r="273" spans="1:13" s="253" customFormat="1" ht="12.75" customHeight="1" outlineLevel="1" x14ac:dyDescent="0.2">
      <c r="A273" s="250"/>
      <c r="B273" s="250"/>
      <c r="C273" s="250"/>
      <c r="D273" s="305" t="s">
        <v>147</v>
      </c>
      <c r="E273" s="301">
        <v>45580</v>
      </c>
      <c r="F273" s="304">
        <v>6.6250000000000003E-2</v>
      </c>
      <c r="G273" s="333" t="s">
        <v>224</v>
      </c>
      <c r="H273" s="341">
        <v>6.6562499999999997E-2</v>
      </c>
      <c r="I273" s="346" t="s">
        <v>229</v>
      </c>
      <c r="J273" s="348">
        <v>6.3750000000000001E-2</v>
      </c>
      <c r="K273" s="372">
        <v>7864500</v>
      </c>
      <c r="L273" s="373">
        <v>3300000</v>
      </c>
      <c r="M273" s="328">
        <f t="shared" si="32"/>
        <v>2.3831818181818183</v>
      </c>
    </row>
    <row r="274" spans="1:13" s="253" customFormat="1" ht="12.75" customHeight="1" outlineLevel="1" x14ac:dyDescent="0.2">
      <c r="A274" s="250"/>
      <c r="B274" s="250"/>
      <c r="C274" s="250"/>
      <c r="D274" s="305" t="s">
        <v>202</v>
      </c>
      <c r="E274" s="301">
        <v>49049</v>
      </c>
      <c r="F274" s="310">
        <v>8.6249999999999993E-2</v>
      </c>
      <c r="G274" s="334">
        <v>7.8125E-2</v>
      </c>
      <c r="H274" s="334">
        <v>0.08</v>
      </c>
      <c r="I274" s="346" t="s">
        <v>230</v>
      </c>
      <c r="J274" s="327">
        <v>7.9062499999999994E-2</v>
      </c>
      <c r="K274" s="372">
        <v>1875500</v>
      </c>
      <c r="L274" s="373">
        <v>700000</v>
      </c>
      <c r="M274" s="328">
        <f t="shared" si="32"/>
        <v>2.6792857142857143</v>
      </c>
    </row>
    <row r="275" spans="1:13" s="253" customFormat="1" ht="12.75" customHeight="1" outlineLevel="1" x14ac:dyDescent="0.2">
      <c r="A275" s="250"/>
      <c r="B275" s="250"/>
      <c r="C275" s="250"/>
      <c r="D275" s="311" t="s">
        <v>148</v>
      </c>
      <c r="E275" s="307">
        <v>52336</v>
      </c>
      <c r="F275" s="310">
        <v>6.7500000000000004E-2</v>
      </c>
      <c r="G275" s="334">
        <v>7.9687499999999994E-2</v>
      </c>
      <c r="H275" s="334">
        <v>8.2187499999999997E-2</v>
      </c>
      <c r="I275" s="346" t="s">
        <v>231</v>
      </c>
      <c r="J275" s="344" t="s">
        <v>234</v>
      </c>
      <c r="K275" s="372">
        <v>4786600</v>
      </c>
      <c r="L275" s="373">
        <v>1100000</v>
      </c>
      <c r="M275" s="328">
        <f t="shared" si="32"/>
        <v>4.351454545454545</v>
      </c>
    </row>
    <row r="276" spans="1:13" s="249" customFormat="1" ht="12.75" customHeight="1" outlineLevel="1" x14ac:dyDescent="0.2">
      <c r="A276" s="331"/>
      <c r="B276" s="331"/>
      <c r="C276" s="331"/>
      <c r="D276" s="337" t="s">
        <v>221</v>
      </c>
      <c r="E276" s="338">
        <v>53615</v>
      </c>
      <c r="F276" s="340"/>
      <c r="G276" s="335">
        <v>8.1562499999999996E-2</v>
      </c>
      <c r="H276" s="342" t="s">
        <v>226</v>
      </c>
      <c r="I276" s="347" t="s">
        <v>130</v>
      </c>
      <c r="J276" s="330" t="s">
        <v>130</v>
      </c>
      <c r="K276" s="374">
        <v>6833700</v>
      </c>
      <c r="L276" s="375" t="s">
        <v>130</v>
      </c>
      <c r="M276" s="329" t="s">
        <v>130</v>
      </c>
    </row>
    <row r="277" spans="1:13" s="249" customFormat="1" ht="12.75" customHeight="1" outlineLevel="1" x14ac:dyDescent="0.2">
      <c r="A277" s="496" t="s">
        <v>121</v>
      </c>
      <c r="B277" s="497"/>
      <c r="C277" s="497"/>
      <c r="D277" s="497"/>
      <c r="E277" s="497"/>
      <c r="F277" s="497"/>
      <c r="G277" s="497"/>
      <c r="H277" s="497"/>
      <c r="I277" s="497"/>
      <c r="J277" s="498"/>
      <c r="K277" s="273">
        <f>SUM(K271:K276)</f>
        <v>41606300</v>
      </c>
      <c r="L277" s="273">
        <f>SUM(L271:L276)</f>
        <v>9500000</v>
      </c>
      <c r="M277" s="273"/>
    </row>
    <row r="278" spans="1:13" s="71" customFormat="1" ht="12.75" customHeight="1" outlineLevel="1" x14ac:dyDescent="0.2">
      <c r="A278" s="178">
        <v>43993</v>
      </c>
      <c r="B278" s="301">
        <v>44027</v>
      </c>
      <c r="C278" s="221" t="s">
        <v>149</v>
      </c>
      <c r="D278" s="222" t="s">
        <v>245</v>
      </c>
      <c r="E278" s="301">
        <v>45122</v>
      </c>
      <c r="F278" s="304">
        <v>6.4000000000000001E-2</v>
      </c>
      <c r="G278" s="304"/>
      <c r="H278" s="304"/>
      <c r="I278" s="303"/>
      <c r="J278" s="303"/>
      <c r="K278" s="189">
        <v>18336042</v>
      </c>
      <c r="L278" s="189">
        <v>18336042</v>
      </c>
      <c r="M278" s="184">
        <f>IF(L278=0,0,K278/L278)</f>
        <v>1</v>
      </c>
    </row>
    <row r="279" spans="1:13" s="71" customFormat="1" ht="12.75" customHeight="1" outlineLevel="1" x14ac:dyDescent="0.2">
      <c r="A279" s="477" t="s">
        <v>121</v>
      </c>
      <c r="B279" s="478"/>
      <c r="C279" s="478"/>
      <c r="D279" s="478"/>
      <c r="E279" s="478"/>
      <c r="F279" s="478"/>
      <c r="G279" s="478"/>
      <c r="H279" s="478"/>
      <c r="I279" s="478"/>
      <c r="J279" s="479"/>
      <c r="K279" s="220">
        <f>K278</f>
        <v>18336042</v>
      </c>
      <c r="L279" s="220">
        <f>L278</f>
        <v>18336042</v>
      </c>
      <c r="M279" s="204"/>
    </row>
    <row r="280" spans="1:13" s="249" customFormat="1" ht="12.75" customHeight="1" outlineLevel="1" x14ac:dyDescent="0.2">
      <c r="A280" s="307">
        <v>44026</v>
      </c>
      <c r="B280" s="307">
        <v>44028</v>
      </c>
      <c r="C280" s="241" t="s">
        <v>145</v>
      </c>
      <c r="D280" s="308" t="s">
        <v>246</v>
      </c>
      <c r="E280" s="309">
        <v>44119</v>
      </c>
      <c r="F280" s="317" t="s">
        <v>128</v>
      </c>
      <c r="G280" s="320" t="s">
        <v>130</v>
      </c>
      <c r="H280" s="320" t="s">
        <v>130</v>
      </c>
      <c r="I280" s="274" t="s">
        <v>130</v>
      </c>
      <c r="J280" s="274" t="s">
        <v>130</v>
      </c>
      <c r="K280" s="247">
        <v>0</v>
      </c>
      <c r="L280" s="247">
        <v>0</v>
      </c>
      <c r="M280" s="318">
        <f t="shared" ref="M280:M286" si="33">IF(L280=0,0,K280/L280)</f>
        <v>0</v>
      </c>
    </row>
    <row r="281" spans="1:13" s="253" customFormat="1" ht="12.75" customHeight="1" outlineLevel="1" x14ac:dyDescent="0.2">
      <c r="A281" s="250"/>
      <c r="B281" s="250"/>
      <c r="C281" s="376"/>
      <c r="D281" s="308" t="s">
        <v>187</v>
      </c>
      <c r="E281" s="309">
        <v>44315</v>
      </c>
      <c r="F281" s="317" t="s">
        <v>128</v>
      </c>
      <c r="G281" s="245" t="s">
        <v>130</v>
      </c>
      <c r="H281" s="245" t="s">
        <v>130</v>
      </c>
      <c r="I281" s="246" t="s">
        <v>130</v>
      </c>
      <c r="J281" s="246" t="s">
        <v>130</v>
      </c>
      <c r="K281" s="247">
        <v>0</v>
      </c>
      <c r="L281" s="247">
        <v>0</v>
      </c>
      <c r="M281" s="318">
        <f t="shared" si="33"/>
        <v>0</v>
      </c>
    </row>
    <row r="282" spans="1:13" s="253" customFormat="1" ht="12.75" customHeight="1" outlineLevel="1" x14ac:dyDescent="0.2">
      <c r="A282" s="250"/>
      <c r="B282" s="250"/>
      <c r="C282" s="376"/>
      <c r="D282" s="308" t="s">
        <v>137</v>
      </c>
      <c r="E282" s="309">
        <v>45823</v>
      </c>
      <c r="F282" s="310">
        <v>6.5000000000000002E-2</v>
      </c>
      <c r="G282" s="245">
        <v>6.4699999999999994E-2</v>
      </c>
      <c r="H282" s="245">
        <v>6.5000000000000002E-2</v>
      </c>
      <c r="I282" s="246">
        <v>6.2860299999999994E-2</v>
      </c>
      <c r="J282" s="246">
        <v>6.3E-2</v>
      </c>
      <c r="K282" s="319">
        <v>25106000</v>
      </c>
      <c r="L282" s="319">
        <v>8050000</v>
      </c>
      <c r="M282" s="318">
        <f t="shared" si="33"/>
        <v>3.1187577639751551</v>
      </c>
    </row>
    <row r="283" spans="1:13" s="253" customFormat="1" ht="12.75" customHeight="1" outlineLevel="1" x14ac:dyDescent="0.2">
      <c r="A283" s="250"/>
      <c r="B283" s="250"/>
      <c r="C283" s="376"/>
      <c r="D283" s="308" t="s">
        <v>138</v>
      </c>
      <c r="E283" s="309">
        <v>47741</v>
      </c>
      <c r="F283" s="310">
        <v>7.0000000000000007E-2</v>
      </c>
      <c r="G283" s="245">
        <v>7.1300000000000002E-2</v>
      </c>
      <c r="H283" s="245">
        <v>7.1999999999999995E-2</v>
      </c>
      <c r="I283" s="246">
        <v>7.0476800000000006E-2</v>
      </c>
      <c r="J283" s="246">
        <v>7.0699999999999999E-2</v>
      </c>
      <c r="K283" s="319">
        <v>15489000</v>
      </c>
      <c r="L283" s="319">
        <v>6750000</v>
      </c>
      <c r="M283" s="318">
        <f t="shared" si="33"/>
        <v>2.2946666666666666</v>
      </c>
    </row>
    <row r="284" spans="1:13" s="253" customFormat="1" ht="12.75" customHeight="1" outlineLevel="1" x14ac:dyDescent="0.2">
      <c r="A284" s="250"/>
      <c r="B284" s="250"/>
      <c r="C284" s="376"/>
      <c r="D284" s="308" t="s">
        <v>136</v>
      </c>
      <c r="E284" s="309">
        <v>49475</v>
      </c>
      <c r="F284" s="310">
        <v>7.4999999999999997E-2</v>
      </c>
      <c r="G284" s="245">
        <v>7.5300000000000006E-2</v>
      </c>
      <c r="H284" s="245">
        <v>7.6700000000000004E-2</v>
      </c>
      <c r="I284" s="246">
        <v>7.5438199999999997E-2</v>
      </c>
      <c r="J284" s="246">
        <v>7.5600000000000001E-2</v>
      </c>
      <c r="K284" s="319">
        <v>9037100</v>
      </c>
      <c r="L284" s="319">
        <v>3700000</v>
      </c>
      <c r="M284" s="318">
        <f t="shared" si="33"/>
        <v>2.4424594594594593</v>
      </c>
    </row>
    <row r="285" spans="1:13" s="253" customFormat="1" ht="12.75" customHeight="1" outlineLevel="1" x14ac:dyDescent="0.2">
      <c r="A285" s="250"/>
      <c r="B285" s="250"/>
      <c r="C285" s="376"/>
      <c r="D285" s="308" t="s">
        <v>144</v>
      </c>
      <c r="E285" s="309">
        <v>51241</v>
      </c>
      <c r="F285" s="310">
        <v>7.4999999999999997E-2</v>
      </c>
      <c r="G285" s="245">
        <v>7.5700000000000003E-2</v>
      </c>
      <c r="H285" s="245">
        <v>7.9000000000000001E-2</v>
      </c>
      <c r="I285" s="246">
        <v>7.5644400000000001E-2</v>
      </c>
      <c r="J285" s="246">
        <v>7.5800000000000006E-2</v>
      </c>
      <c r="K285" s="319">
        <v>5469500</v>
      </c>
      <c r="L285" s="319">
        <v>2050000</v>
      </c>
      <c r="M285" s="318">
        <f t="shared" si="33"/>
        <v>2.6680487804878048</v>
      </c>
    </row>
    <row r="286" spans="1:13" s="249" customFormat="1" ht="12.75" customHeight="1" outlineLevel="1" x14ac:dyDescent="0.2">
      <c r="A286" s="250"/>
      <c r="B286" s="250"/>
      <c r="C286" s="250"/>
      <c r="D286" s="311" t="s">
        <v>134</v>
      </c>
      <c r="E286" s="307">
        <v>54193</v>
      </c>
      <c r="F286" s="310">
        <v>7.3749999999999996E-2</v>
      </c>
      <c r="G286" s="312">
        <v>7.6600000000000001E-2</v>
      </c>
      <c r="H286" s="310">
        <v>7.85E-2</v>
      </c>
      <c r="I286" s="246">
        <v>7.6393900000000001E-2</v>
      </c>
      <c r="J286" s="312">
        <v>7.6499999999999999E-2</v>
      </c>
      <c r="K286" s="319">
        <v>4011100</v>
      </c>
      <c r="L286" s="319">
        <v>1450000</v>
      </c>
      <c r="M286" s="318">
        <f t="shared" si="33"/>
        <v>2.7662758620689654</v>
      </c>
    </row>
    <row r="287" spans="1:13" s="249" customFormat="1" ht="12.75" customHeight="1" outlineLevel="1" x14ac:dyDescent="0.2">
      <c r="A287" s="490" t="s">
        <v>121</v>
      </c>
      <c r="B287" s="491"/>
      <c r="C287" s="491"/>
      <c r="D287" s="491"/>
      <c r="E287" s="491"/>
      <c r="F287" s="491"/>
      <c r="G287" s="491"/>
      <c r="H287" s="491"/>
      <c r="I287" s="491"/>
      <c r="J287" s="492"/>
      <c r="K287" s="349">
        <f>SUM(K280:K286)</f>
        <v>59112700</v>
      </c>
      <c r="L287" s="349">
        <f>SUM(L280:L286)</f>
        <v>22000000</v>
      </c>
      <c r="M287" s="257"/>
    </row>
    <row r="288" spans="1:13" s="249" customFormat="1" ht="12.75" customHeight="1" outlineLevel="1" x14ac:dyDescent="0.2">
      <c r="A288" s="293">
        <v>44033</v>
      </c>
      <c r="B288" s="293">
        <v>44035</v>
      </c>
      <c r="C288" s="295" t="s">
        <v>145</v>
      </c>
      <c r="D288" s="336" t="s">
        <v>180</v>
      </c>
      <c r="E288" s="208">
        <v>44204</v>
      </c>
      <c r="F288" s="339" t="s">
        <v>128</v>
      </c>
      <c r="G288" s="381">
        <v>3.6562499999999998E-2</v>
      </c>
      <c r="H288" s="381">
        <v>4.2187500000000003E-2</v>
      </c>
      <c r="I288" s="381">
        <v>3.6562499999999998E-2</v>
      </c>
      <c r="J288" s="382">
        <v>3.6562499999999998E-2</v>
      </c>
      <c r="K288" s="370">
        <v>2565000</v>
      </c>
      <c r="L288" s="371">
        <v>1100000</v>
      </c>
      <c r="M288" s="328">
        <f t="shared" ref="M288:M292" si="34">IF(L288=0,0,K288/L288)</f>
        <v>2.331818181818182</v>
      </c>
    </row>
    <row r="289" spans="1:13" s="253" customFormat="1" ht="12.75" customHeight="1" outlineLevel="1" x14ac:dyDescent="0.2">
      <c r="A289" s="250"/>
      <c r="B289" s="250"/>
      <c r="C289" s="250"/>
      <c r="D289" s="305" t="s">
        <v>49</v>
      </c>
      <c r="E289" s="301">
        <v>44576</v>
      </c>
      <c r="F289" s="304">
        <v>5.45E-2</v>
      </c>
      <c r="G289" s="383">
        <v>0.05</v>
      </c>
      <c r="H289" s="383">
        <v>5.5937500000000001E-2</v>
      </c>
      <c r="I289" s="383">
        <v>0.05</v>
      </c>
      <c r="J289" s="384">
        <v>0.05</v>
      </c>
      <c r="K289" s="372">
        <v>14886000</v>
      </c>
      <c r="L289" s="373">
        <v>2350000</v>
      </c>
      <c r="M289" s="328">
        <f t="shared" si="34"/>
        <v>6.3344680851063826</v>
      </c>
    </row>
    <row r="290" spans="1:13" s="253" customFormat="1" ht="12.75" customHeight="1" outlineLevel="1" x14ac:dyDescent="0.2">
      <c r="A290" s="250"/>
      <c r="B290" s="250"/>
      <c r="C290" s="250"/>
      <c r="D290" s="305" t="s">
        <v>147</v>
      </c>
      <c r="E290" s="301">
        <v>45580</v>
      </c>
      <c r="F290" s="304">
        <v>6.6250000000000003E-2</v>
      </c>
      <c r="G290" s="383">
        <v>6.1249999999999999E-2</v>
      </c>
      <c r="H290" s="385">
        <v>6.5937499999999996E-2</v>
      </c>
      <c r="I290" s="383">
        <v>6.1101200000000001E-2</v>
      </c>
      <c r="J290" s="384">
        <v>6.1249999999999999E-2</v>
      </c>
      <c r="K290" s="372">
        <v>6541500</v>
      </c>
      <c r="L290" s="373">
        <v>1200000</v>
      </c>
      <c r="M290" s="328">
        <f t="shared" si="34"/>
        <v>5.4512499999999999</v>
      </c>
    </row>
    <row r="291" spans="1:13" s="253" customFormat="1" ht="12.75" customHeight="1" outlineLevel="1" x14ac:dyDescent="0.2">
      <c r="A291" s="250"/>
      <c r="B291" s="250"/>
      <c r="C291" s="250"/>
      <c r="D291" s="305" t="s">
        <v>202</v>
      </c>
      <c r="E291" s="301">
        <v>49049</v>
      </c>
      <c r="F291" s="310">
        <v>8.6249999999999993E-2</v>
      </c>
      <c r="G291" s="383">
        <v>7.8125E-2</v>
      </c>
      <c r="H291" s="383">
        <v>0.08</v>
      </c>
      <c r="I291" s="383">
        <v>7.7721999999999999E-2</v>
      </c>
      <c r="J291" s="386">
        <v>7.7812500000000007E-2</v>
      </c>
      <c r="K291" s="372">
        <v>5875000</v>
      </c>
      <c r="L291" s="373">
        <v>1100000</v>
      </c>
      <c r="M291" s="328">
        <f t="shared" si="34"/>
        <v>5.3409090909090908</v>
      </c>
    </row>
    <row r="292" spans="1:13" s="249" customFormat="1" ht="12.75" customHeight="1" outlineLevel="1" x14ac:dyDescent="0.2">
      <c r="A292" s="331"/>
      <c r="B292" s="331"/>
      <c r="C292" s="331"/>
      <c r="D292" s="337" t="s">
        <v>221</v>
      </c>
      <c r="E292" s="338">
        <v>53615</v>
      </c>
      <c r="F292" s="378">
        <v>7.7499999999999999E-2</v>
      </c>
      <c r="G292" s="387">
        <v>7.9687499999999994E-2</v>
      </c>
      <c r="H292" s="387">
        <v>8.1562499999999996E-2</v>
      </c>
      <c r="I292" s="388">
        <v>7.9449149999999996E-2</v>
      </c>
      <c r="J292" s="389">
        <v>7.9687499999999994E-2</v>
      </c>
      <c r="K292" s="374">
        <v>10335800</v>
      </c>
      <c r="L292" s="373">
        <v>5250000</v>
      </c>
      <c r="M292" s="328">
        <f t="shared" si="34"/>
        <v>1.9687238095238095</v>
      </c>
    </row>
    <row r="293" spans="1:13" s="180" customFormat="1" ht="12.75" customHeight="1" x14ac:dyDescent="0.2">
      <c r="A293" s="468" t="s">
        <v>121</v>
      </c>
      <c r="B293" s="469"/>
      <c r="C293" s="469"/>
      <c r="D293" s="469"/>
      <c r="E293" s="469"/>
      <c r="F293" s="469"/>
      <c r="G293" s="469"/>
      <c r="H293" s="469"/>
      <c r="I293" s="469"/>
      <c r="J293" s="470"/>
      <c r="K293" s="380">
        <f>SUM(K288:K292)</f>
        <v>40203300</v>
      </c>
      <c r="L293" s="380">
        <f>SUM(L288:L292)</f>
        <v>11000000</v>
      </c>
      <c r="M293" s="181"/>
    </row>
    <row r="294" spans="1:13" s="249" customFormat="1" ht="12.75" customHeight="1" outlineLevel="1" x14ac:dyDescent="0.2">
      <c r="A294" s="307">
        <v>44040</v>
      </c>
      <c r="B294" s="307">
        <v>44042</v>
      </c>
      <c r="C294" s="241" t="s">
        <v>145</v>
      </c>
      <c r="D294" s="308" t="s">
        <v>248</v>
      </c>
      <c r="E294" s="309">
        <v>44133</v>
      </c>
      <c r="F294" s="317" t="s">
        <v>128</v>
      </c>
      <c r="G294" s="320">
        <v>3.4299999999999997E-2</v>
      </c>
      <c r="H294" s="320">
        <v>3.5000000000000003E-2</v>
      </c>
      <c r="I294" s="274">
        <v>3.4828600000000001E-2</v>
      </c>
      <c r="J294" s="274">
        <v>3.5000000000000003E-2</v>
      </c>
      <c r="K294" s="247">
        <v>800000</v>
      </c>
      <c r="L294" s="247">
        <v>280000</v>
      </c>
      <c r="M294" s="318">
        <f t="shared" ref="M294:M300" si="35">IF(L294=0,0,K294/L294)</f>
        <v>2.8571428571428572</v>
      </c>
    </row>
    <row r="295" spans="1:13" s="253" customFormat="1" ht="12.75" customHeight="1" outlineLevel="1" x14ac:dyDescent="0.2">
      <c r="A295" s="250"/>
      <c r="B295" s="250"/>
      <c r="C295" s="377"/>
      <c r="D295" s="308" t="s">
        <v>187</v>
      </c>
      <c r="E295" s="309">
        <v>44315</v>
      </c>
      <c r="F295" s="317" t="s">
        <v>128</v>
      </c>
      <c r="G295" s="245">
        <v>3.6999999999999998E-2</v>
      </c>
      <c r="H295" s="245">
        <v>0.04</v>
      </c>
      <c r="I295" s="246">
        <v>3.7443999999999998E-2</v>
      </c>
      <c r="J295" s="246">
        <v>3.78E-2</v>
      </c>
      <c r="K295" s="247">
        <v>3440000</v>
      </c>
      <c r="L295" s="247">
        <v>1000000</v>
      </c>
      <c r="M295" s="318">
        <f t="shared" si="35"/>
        <v>3.44</v>
      </c>
    </row>
    <row r="296" spans="1:13" s="253" customFormat="1" ht="12.75" customHeight="1" outlineLevel="1" x14ac:dyDescent="0.2">
      <c r="A296" s="250"/>
      <c r="B296" s="250"/>
      <c r="C296" s="377"/>
      <c r="D296" s="308" t="s">
        <v>137</v>
      </c>
      <c r="E296" s="309">
        <v>45823</v>
      </c>
      <c r="F296" s="310">
        <v>6.5000000000000002E-2</v>
      </c>
      <c r="G296" s="245">
        <v>5.9299999999999999E-2</v>
      </c>
      <c r="H296" s="245">
        <v>6.0999999999999999E-2</v>
      </c>
      <c r="I296" s="246">
        <v>5.9440699999999999E-2</v>
      </c>
      <c r="J296" s="246">
        <v>5.96E-2</v>
      </c>
      <c r="K296" s="319">
        <v>17479000</v>
      </c>
      <c r="L296" s="319">
        <v>7220000</v>
      </c>
      <c r="M296" s="318">
        <f t="shared" si="35"/>
        <v>2.4209141274238228</v>
      </c>
    </row>
    <row r="297" spans="1:13" s="253" customFormat="1" ht="12.75" customHeight="1" outlineLevel="1" x14ac:dyDescent="0.2">
      <c r="A297" s="250"/>
      <c r="B297" s="250"/>
      <c r="C297" s="377"/>
      <c r="D297" s="308" t="s">
        <v>138</v>
      </c>
      <c r="E297" s="309">
        <v>47741</v>
      </c>
      <c r="F297" s="310">
        <v>7.0000000000000007E-2</v>
      </c>
      <c r="G297" s="245">
        <v>6.7900000000000002E-2</v>
      </c>
      <c r="H297" s="245">
        <v>6.9500000000000006E-2</v>
      </c>
      <c r="I297" s="246">
        <v>6.8099999999999994E-2</v>
      </c>
      <c r="J297" s="246">
        <v>6.8199999999999997E-2</v>
      </c>
      <c r="K297" s="319">
        <v>21355000</v>
      </c>
      <c r="L297" s="319">
        <v>4750000</v>
      </c>
      <c r="M297" s="318">
        <f t="shared" si="35"/>
        <v>4.4957894736842103</v>
      </c>
    </row>
    <row r="298" spans="1:13" s="253" customFormat="1" ht="12.75" customHeight="1" outlineLevel="1" x14ac:dyDescent="0.2">
      <c r="A298" s="250"/>
      <c r="B298" s="250"/>
      <c r="C298" s="377"/>
      <c r="D298" s="308" t="s">
        <v>136</v>
      </c>
      <c r="E298" s="309">
        <v>49475</v>
      </c>
      <c r="F298" s="310">
        <v>7.4999999999999997E-2</v>
      </c>
      <c r="G298" s="245">
        <v>7.2599999999999998E-2</v>
      </c>
      <c r="H298" s="245">
        <v>7.4300000000000005E-2</v>
      </c>
      <c r="I298" s="246">
        <v>7.2809899999999997E-2</v>
      </c>
      <c r="J298" s="246">
        <v>7.2900000000000006E-2</v>
      </c>
      <c r="K298" s="319">
        <v>10288900</v>
      </c>
      <c r="L298" s="319">
        <v>3450000</v>
      </c>
      <c r="M298" s="318">
        <f t="shared" si="35"/>
        <v>2.9822898550724637</v>
      </c>
    </row>
    <row r="299" spans="1:13" s="253" customFormat="1" ht="12.75" customHeight="1" outlineLevel="1" x14ac:dyDescent="0.2">
      <c r="A299" s="250"/>
      <c r="B299" s="250"/>
      <c r="C299" s="377"/>
      <c r="D299" s="308" t="s">
        <v>144</v>
      </c>
      <c r="E299" s="309">
        <v>51241</v>
      </c>
      <c r="F299" s="310">
        <v>7.4999999999999997E-2</v>
      </c>
      <c r="G299" s="245">
        <v>7.3800000000000004E-2</v>
      </c>
      <c r="H299" s="245">
        <v>7.4999999999999997E-2</v>
      </c>
      <c r="I299" s="246">
        <v>7.4007299999999998E-2</v>
      </c>
      <c r="J299" s="246">
        <v>7.4099999999999999E-2</v>
      </c>
      <c r="K299" s="319">
        <v>8090900</v>
      </c>
      <c r="L299" s="319">
        <v>2600000</v>
      </c>
      <c r="M299" s="318">
        <f t="shared" si="35"/>
        <v>3.1118846153846156</v>
      </c>
    </row>
    <row r="300" spans="1:13" s="249" customFormat="1" ht="12.75" customHeight="1" outlineLevel="1" x14ac:dyDescent="0.2">
      <c r="A300" s="250"/>
      <c r="B300" s="250"/>
      <c r="C300" s="250"/>
      <c r="D300" s="311" t="s">
        <v>134</v>
      </c>
      <c r="E300" s="307">
        <v>54193</v>
      </c>
      <c r="F300" s="310">
        <v>7.3749999999999996E-2</v>
      </c>
      <c r="G300" s="312">
        <v>7.4200000000000002E-2</v>
      </c>
      <c r="H300" s="310">
        <v>7.5999999999999998E-2</v>
      </c>
      <c r="I300" s="246">
        <v>7.4529100000000001E-2</v>
      </c>
      <c r="J300" s="312">
        <v>7.46E-2</v>
      </c>
      <c r="K300" s="319">
        <v>11326800</v>
      </c>
      <c r="L300" s="319">
        <v>2700000</v>
      </c>
      <c r="M300" s="318">
        <f t="shared" si="35"/>
        <v>4.1951111111111112</v>
      </c>
    </row>
    <row r="301" spans="1:13" s="249" customFormat="1" ht="12.75" customHeight="1" outlineLevel="1" x14ac:dyDescent="0.2">
      <c r="A301" s="490" t="s">
        <v>121</v>
      </c>
      <c r="B301" s="491"/>
      <c r="C301" s="491"/>
      <c r="D301" s="491"/>
      <c r="E301" s="491"/>
      <c r="F301" s="491"/>
      <c r="G301" s="491"/>
      <c r="H301" s="491"/>
      <c r="I301" s="491"/>
      <c r="J301" s="492"/>
      <c r="K301" s="349">
        <f>SUM(K294:K300)</f>
        <v>72780600</v>
      </c>
      <c r="L301" s="349">
        <f>SUM(L294:L300)</f>
        <v>22000000</v>
      </c>
      <c r="M301" s="257"/>
    </row>
    <row r="302" spans="1:13" s="180" customFormat="1" ht="12.75" customHeight="1" x14ac:dyDescent="0.2">
      <c r="A302" s="489" t="s">
        <v>216</v>
      </c>
      <c r="B302" s="489"/>
      <c r="C302" s="489"/>
      <c r="D302" s="489"/>
      <c r="E302" s="489"/>
      <c r="F302" s="489"/>
      <c r="G302" s="489"/>
      <c r="H302" s="489"/>
      <c r="I302" s="489"/>
      <c r="J302" s="489"/>
      <c r="K302" s="315">
        <f>SUM(K256,K259,K270,K277,K279,K287,K293,K301)</f>
        <v>318005832</v>
      </c>
      <c r="L302" s="315">
        <f>SUM(L256,L259,L270,L277,L279,L287,L293,L301)</f>
        <v>117270332</v>
      </c>
      <c r="M302" s="181"/>
    </row>
    <row r="303" spans="1:13" s="180" customFormat="1" ht="12.75" customHeight="1" x14ac:dyDescent="0.2">
      <c r="A303" s="468" t="s">
        <v>247</v>
      </c>
      <c r="B303" s="469"/>
      <c r="C303" s="469"/>
      <c r="D303" s="469"/>
      <c r="E303" s="469"/>
      <c r="F303" s="469"/>
      <c r="G303" s="469"/>
      <c r="H303" s="469"/>
      <c r="I303" s="469"/>
      <c r="J303" s="470"/>
      <c r="K303" s="315">
        <f>SUM(K248+K302)</f>
        <v>2052463003</v>
      </c>
      <c r="L303" s="315">
        <f>SUM(L248,L302)</f>
        <v>747560403</v>
      </c>
      <c r="M303" s="181"/>
    </row>
    <row r="304" spans="1:13" s="180" customFormat="1" ht="12.75" customHeight="1" x14ac:dyDescent="0.2">
      <c r="A304" s="293">
        <v>44047</v>
      </c>
      <c r="B304" s="293">
        <v>44049</v>
      </c>
      <c r="C304" s="295" t="s">
        <v>145</v>
      </c>
      <c r="D304" s="336" t="s">
        <v>259</v>
      </c>
      <c r="E304" s="208">
        <v>44232</v>
      </c>
      <c r="F304" s="339" t="s">
        <v>128</v>
      </c>
      <c r="G304" s="381">
        <v>3.4687500000000003E-2</v>
      </c>
      <c r="H304" s="381">
        <v>3.6874999999999998E-2</v>
      </c>
      <c r="I304" s="381">
        <v>3.48411E-2</v>
      </c>
      <c r="J304" s="382">
        <v>3.5000000000000003E-2</v>
      </c>
      <c r="K304" s="370">
        <v>1515000</v>
      </c>
      <c r="L304" s="371">
        <v>950000</v>
      </c>
      <c r="M304" s="328">
        <f t="shared" ref="M304:M308" si="36">IF(L304=0,0,K304/L304)</f>
        <v>1.5947368421052632</v>
      </c>
    </row>
    <row r="305" spans="1:13" s="180" customFormat="1" ht="12.75" customHeight="1" x14ac:dyDescent="0.2">
      <c r="A305" s="250"/>
      <c r="B305" s="250"/>
      <c r="C305" s="250"/>
      <c r="D305" s="305" t="s">
        <v>196</v>
      </c>
      <c r="E305" s="301">
        <v>45061</v>
      </c>
      <c r="F305" s="304">
        <v>6.5000000000000002E-2</v>
      </c>
      <c r="G305" s="383">
        <v>5.1249999999999997E-2</v>
      </c>
      <c r="H305" s="383">
        <v>5.5E-2</v>
      </c>
      <c r="I305" s="383">
        <v>5.1394000000000002E-2</v>
      </c>
      <c r="J305" s="384">
        <v>5.1562499999999997E-2</v>
      </c>
      <c r="K305" s="372">
        <v>12625000</v>
      </c>
      <c r="L305" s="373">
        <v>2650000</v>
      </c>
      <c r="M305" s="328">
        <f t="shared" si="36"/>
        <v>4.7641509433962268</v>
      </c>
    </row>
    <row r="306" spans="1:13" s="180" customFormat="1" ht="12.75" customHeight="1" x14ac:dyDescent="0.2">
      <c r="A306" s="250"/>
      <c r="B306" s="250"/>
      <c r="C306" s="250"/>
      <c r="D306" s="305" t="s">
        <v>147</v>
      </c>
      <c r="E306" s="301">
        <v>45580</v>
      </c>
      <c r="F306" s="304">
        <v>6.6250000000000003E-2</v>
      </c>
      <c r="G306" s="383">
        <v>5.8125000000000003E-2</v>
      </c>
      <c r="H306" s="385">
        <v>6.21875E-2</v>
      </c>
      <c r="I306" s="383">
        <v>5.8125000000000003E-2</v>
      </c>
      <c r="J306" s="384">
        <v>5.8125000000000003E-2</v>
      </c>
      <c r="K306" s="372">
        <v>9512500</v>
      </c>
      <c r="L306" s="373">
        <v>2400000</v>
      </c>
      <c r="M306" s="328">
        <f t="shared" si="36"/>
        <v>3.9635416666666665</v>
      </c>
    </row>
    <row r="307" spans="1:13" s="180" customFormat="1" ht="12.75" customHeight="1" x14ac:dyDescent="0.2">
      <c r="A307" s="250"/>
      <c r="B307" s="250"/>
      <c r="C307" s="250"/>
      <c r="D307" s="305" t="s">
        <v>260</v>
      </c>
      <c r="E307" s="301">
        <v>48714</v>
      </c>
      <c r="F307" s="310">
        <v>8.3750000000000005E-2</v>
      </c>
      <c r="G307" s="383">
        <v>7.3749999999999996E-2</v>
      </c>
      <c r="H307" s="383">
        <v>0.08</v>
      </c>
      <c r="I307" s="383">
        <v>7.3749999999999996E-2</v>
      </c>
      <c r="J307" s="394" t="s">
        <v>130</v>
      </c>
      <c r="K307" s="372">
        <v>6437000</v>
      </c>
      <c r="L307" s="395" t="s">
        <v>130</v>
      </c>
      <c r="M307" s="329" t="s">
        <v>130</v>
      </c>
    </row>
    <row r="308" spans="1:13" s="180" customFormat="1" ht="12.75" customHeight="1" x14ac:dyDescent="0.2">
      <c r="A308" s="331"/>
      <c r="B308" s="331"/>
      <c r="C308" s="331"/>
      <c r="D308" s="337" t="s">
        <v>221</v>
      </c>
      <c r="E308" s="338">
        <v>53615</v>
      </c>
      <c r="F308" s="378">
        <v>7.7499999999999999E-2</v>
      </c>
      <c r="G308" s="387">
        <v>7.6874999999999999E-2</v>
      </c>
      <c r="H308" s="387">
        <v>7.9062499999999994E-2</v>
      </c>
      <c r="I308" s="388">
        <v>7.6874999999999999E-2</v>
      </c>
      <c r="J308" s="392">
        <v>7.7499999999999999E-2</v>
      </c>
      <c r="K308" s="374">
        <v>9676600</v>
      </c>
      <c r="L308" s="373">
        <v>5000000</v>
      </c>
      <c r="M308" s="328">
        <f t="shared" si="36"/>
        <v>1.9353199999999999</v>
      </c>
    </row>
    <row r="309" spans="1:13" s="180" customFormat="1" ht="12.75" customHeight="1" x14ac:dyDescent="0.2">
      <c r="A309" s="468" t="s">
        <v>121</v>
      </c>
      <c r="B309" s="469"/>
      <c r="C309" s="469"/>
      <c r="D309" s="469"/>
      <c r="E309" s="469"/>
      <c r="F309" s="469"/>
      <c r="G309" s="469"/>
      <c r="H309" s="469"/>
      <c r="I309" s="469"/>
      <c r="J309" s="470"/>
      <c r="K309" s="380">
        <f>SUM(K304:K308)</f>
        <v>39766100</v>
      </c>
      <c r="L309" s="380">
        <f>SUM(L304:L308)</f>
        <v>11000000</v>
      </c>
      <c r="M309" s="181"/>
    </row>
    <row r="310" spans="1:13" s="253" customFormat="1" ht="17.25" customHeight="1" outlineLevel="1" x14ac:dyDescent="0.2">
      <c r="A310" s="307">
        <v>44049</v>
      </c>
      <c r="B310" s="307">
        <v>44053</v>
      </c>
      <c r="C310" s="241" t="s">
        <v>170</v>
      </c>
      <c r="D310" s="265" t="s">
        <v>249</v>
      </c>
      <c r="E310" s="266">
        <v>45879</v>
      </c>
      <c r="F310" s="502" t="s">
        <v>253</v>
      </c>
      <c r="G310" s="268" t="s">
        <v>130</v>
      </c>
      <c r="H310" s="268" t="s">
        <v>130</v>
      </c>
      <c r="I310" s="269">
        <v>1</v>
      </c>
      <c r="J310" s="268" t="s">
        <v>130</v>
      </c>
      <c r="K310" s="270">
        <v>20525000</v>
      </c>
      <c r="L310" s="270">
        <v>20525000</v>
      </c>
      <c r="M310" s="318">
        <f t="shared" ref="M310:M313" si="37">IF(L310=0,0,K310/L310)</f>
        <v>1</v>
      </c>
    </row>
    <row r="311" spans="1:13" s="253" customFormat="1" ht="16.5" customHeight="1" outlineLevel="1" x14ac:dyDescent="0.2">
      <c r="A311" s="250"/>
      <c r="B311" s="250"/>
      <c r="C311" s="379"/>
      <c r="D311" s="265" t="s">
        <v>250</v>
      </c>
      <c r="E311" s="266">
        <v>46244</v>
      </c>
      <c r="F311" s="503"/>
      <c r="G311" s="268" t="s">
        <v>130</v>
      </c>
      <c r="H311" s="268" t="s">
        <v>130</v>
      </c>
      <c r="I311" s="269">
        <v>1</v>
      </c>
      <c r="J311" s="268" t="s">
        <v>130</v>
      </c>
      <c r="K311" s="270">
        <v>20525000</v>
      </c>
      <c r="L311" s="270">
        <v>20525000</v>
      </c>
      <c r="M311" s="318">
        <f t="shared" si="37"/>
        <v>1</v>
      </c>
    </row>
    <row r="312" spans="1:13" s="272" customFormat="1" ht="17.25" customHeight="1" outlineLevel="1" x14ac:dyDescent="0.2">
      <c r="A312" s="263"/>
      <c r="B312" s="263"/>
      <c r="C312" s="264"/>
      <c r="D312" s="265" t="s">
        <v>251</v>
      </c>
      <c r="E312" s="266">
        <v>46609</v>
      </c>
      <c r="F312" s="503"/>
      <c r="G312" s="268" t="s">
        <v>130</v>
      </c>
      <c r="H312" s="268" t="s">
        <v>130</v>
      </c>
      <c r="I312" s="269">
        <v>1</v>
      </c>
      <c r="J312" s="268" t="s">
        <v>130</v>
      </c>
      <c r="K312" s="270">
        <v>20525000</v>
      </c>
      <c r="L312" s="270">
        <v>20525000</v>
      </c>
      <c r="M312" s="271">
        <f t="shared" ref="M312" si="38">IF(L312=0,0,K312/L312)</f>
        <v>1</v>
      </c>
    </row>
    <row r="313" spans="1:13" s="272" customFormat="1" ht="15" customHeight="1" outlineLevel="1" x14ac:dyDescent="0.2">
      <c r="A313" s="263"/>
      <c r="B313" s="263"/>
      <c r="C313" s="264"/>
      <c r="D313" s="265" t="s">
        <v>252</v>
      </c>
      <c r="E313" s="266">
        <v>46975</v>
      </c>
      <c r="F313" s="504"/>
      <c r="G313" s="268" t="s">
        <v>130</v>
      </c>
      <c r="H313" s="268" t="s">
        <v>130</v>
      </c>
      <c r="I313" s="269">
        <v>1</v>
      </c>
      <c r="J313" s="268" t="s">
        <v>130</v>
      </c>
      <c r="K313" s="270">
        <v>20525000</v>
      </c>
      <c r="L313" s="270">
        <v>20525000</v>
      </c>
      <c r="M313" s="271">
        <f t="shared" si="37"/>
        <v>1</v>
      </c>
    </row>
    <row r="314" spans="1:13" s="249" customFormat="1" ht="12.75" customHeight="1" outlineLevel="1" x14ac:dyDescent="0.2">
      <c r="A314" s="483" t="s">
        <v>121</v>
      </c>
      <c r="B314" s="484"/>
      <c r="C314" s="484"/>
      <c r="D314" s="484"/>
      <c r="E314" s="484"/>
      <c r="F314" s="484"/>
      <c r="G314" s="484"/>
      <c r="H314" s="484"/>
      <c r="I314" s="484"/>
      <c r="J314" s="485"/>
      <c r="K314" s="257">
        <f>SUM(K310:K313)</f>
        <v>82100000</v>
      </c>
      <c r="L314" s="257">
        <f>SUM(L310:L313)</f>
        <v>82100000</v>
      </c>
      <c r="M314" s="257"/>
    </row>
    <row r="315" spans="1:13" s="249" customFormat="1" ht="12.75" customHeight="1" outlineLevel="1" x14ac:dyDescent="0.2">
      <c r="A315" s="307">
        <v>44054</v>
      </c>
      <c r="B315" s="307">
        <v>44056</v>
      </c>
      <c r="C315" s="241" t="s">
        <v>145</v>
      </c>
      <c r="D315" s="308" t="s">
        <v>255</v>
      </c>
      <c r="E315" s="309">
        <v>44147</v>
      </c>
      <c r="F315" s="317" t="s">
        <v>128</v>
      </c>
      <c r="G315" s="320">
        <v>3.2500000000000001E-2</v>
      </c>
      <c r="H315" s="320">
        <v>3.5700000000000003E-2</v>
      </c>
      <c r="I315" s="274">
        <v>3.2500000000000001E-2</v>
      </c>
      <c r="J315" s="274">
        <v>3.2500000000000001E-2</v>
      </c>
      <c r="K315" s="247">
        <v>3260000</v>
      </c>
      <c r="L315" s="247">
        <v>300000</v>
      </c>
      <c r="M315" s="318">
        <f t="shared" ref="M315:M321" si="39">IF(L315=0,0,K315/L315)</f>
        <v>10.866666666666667</v>
      </c>
    </row>
    <row r="316" spans="1:13" s="253" customFormat="1" ht="12.75" customHeight="1" outlineLevel="1" x14ac:dyDescent="0.2">
      <c r="A316" s="250"/>
      <c r="B316" s="250"/>
      <c r="C316" s="390"/>
      <c r="D316" s="308" t="s">
        <v>256</v>
      </c>
      <c r="E316" s="309">
        <v>44420</v>
      </c>
      <c r="F316" s="317" t="s">
        <v>128</v>
      </c>
      <c r="G316" s="245">
        <v>3.5999999999999997E-2</v>
      </c>
      <c r="H316" s="245">
        <v>4.0399999999999998E-2</v>
      </c>
      <c r="I316" s="246">
        <v>3.5999999999999997E-2</v>
      </c>
      <c r="J316" s="246">
        <v>3.5999999999999997E-2</v>
      </c>
      <c r="K316" s="247">
        <v>8980000</v>
      </c>
      <c r="L316" s="247">
        <v>1000000</v>
      </c>
      <c r="M316" s="318">
        <f t="shared" si="39"/>
        <v>8.98</v>
      </c>
    </row>
    <row r="317" spans="1:13" s="253" customFormat="1" ht="12.75" customHeight="1" outlineLevel="1" x14ac:dyDescent="0.2">
      <c r="A317" s="250"/>
      <c r="B317" s="250"/>
      <c r="C317" s="390"/>
      <c r="D317" s="308" t="s">
        <v>257</v>
      </c>
      <c r="E317" s="309">
        <v>46127</v>
      </c>
      <c r="F317" s="310">
        <v>5.5E-2</v>
      </c>
      <c r="G317" s="245">
        <v>5.8099999999999999E-2</v>
      </c>
      <c r="H317" s="245">
        <v>6.0999999999999999E-2</v>
      </c>
      <c r="I317" s="246">
        <v>5.8271200000000002E-2</v>
      </c>
      <c r="J317" s="246">
        <v>5.8400000000000001E-2</v>
      </c>
      <c r="K317" s="319">
        <v>42908300</v>
      </c>
      <c r="L317" s="319">
        <v>7550000</v>
      </c>
      <c r="M317" s="318">
        <f t="shared" si="39"/>
        <v>5.6832185430463573</v>
      </c>
    </row>
    <row r="318" spans="1:13" s="253" customFormat="1" ht="12.75" customHeight="1" outlineLevel="1" x14ac:dyDescent="0.2">
      <c r="A318" s="250"/>
      <c r="B318" s="250"/>
      <c r="C318" s="390"/>
      <c r="D318" s="308" t="s">
        <v>258</v>
      </c>
      <c r="E318" s="309">
        <v>47894</v>
      </c>
      <c r="F318" s="310">
        <v>6.5000000000000002E-2</v>
      </c>
      <c r="G318" s="245">
        <v>6.7100000000000007E-2</v>
      </c>
      <c r="H318" s="245">
        <v>7.3300000000000004E-2</v>
      </c>
      <c r="I318" s="246">
        <v>6.7599099999999995E-2</v>
      </c>
      <c r="J318" s="246">
        <v>6.7799999999999999E-2</v>
      </c>
      <c r="K318" s="319">
        <v>29615300</v>
      </c>
      <c r="L318" s="319">
        <v>6900000</v>
      </c>
      <c r="M318" s="318">
        <f t="shared" si="39"/>
        <v>4.2920724637681156</v>
      </c>
    </row>
    <row r="319" spans="1:13" s="253" customFormat="1" ht="12.75" customHeight="1" outlineLevel="1" x14ac:dyDescent="0.2">
      <c r="A319" s="250"/>
      <c r="B319" s="250"/>
      <c r="C319" s="390"/>
      <c r="D319" s="308" t="s">
        <v>136</v>
      </c>
      <c r="E319" s="309">
        <v>49475</v>
      </c>
      <c r="F319" s="310">
        <v>7.4999999999999997E-2</v>
      </c>
      <c r="G319" s="245">
        <v>7.1999999999999995E-2</v>
      </c>
      <c r="H319" s="245">
        <v>7.3800000000000004E-2</v>
      </c>
      <c r="I319" s="246">
        <v>7.2298799999999996E-2</v>
      </c>
      <c r="J319" s="246">
        <v>7.2400000000000006E-2</v>
      </c>
      <c r="K319" s="319">
        <v>7049400</v>
      </c>
      <c r="L319" s="319">
        <v>2300000</v>
      </c>
      <c r="M319" s="318">
        <f t="shared" si="39"/>
        <v>3.0649565217391306</v>
      </c>
    </row>
    <row r="320" spans="1:13" s="253" customFormat="1" ht="12.75" customHeight="1" outlineLevel="1" x14ac:dyDescent="0.2">
      <c r="A320" s="250"/>
      <c r="B320" s="250"/>
      <c r="C320" s="390"/>
      <c r="D320" s="308" t="s">
        <v>144</v>
      </c>
      <c r="E320" s="309">
        <v>51241</v>
      </c>
      <c r="F320" s="310">
        <v>7.4999999999999997E-2</v>
      </c>
      <c r="G320" s="245">
        <v>7.3300000000000004E-2</v>
      </c>
      <c r="H320" s="245">
        <v>7.4499999999999997E-2</v>
      </c>
      <c r="I320" s="246">
        <v>7.3698100000000002E-2</v>
      </c>
      <c r="J320" s="246">
        <v>7.3800000000000004E-2</v>
      </c>
      <c r="K320" s="319">
        <v>6388600</v>
      </c>
      <c r="L320" s="319">
        <v>2150000</v>
      </c>
      <c r="M320" s="318">
        <f t="shared" si="39"/>
        <v>2.9714418604651165</v>
      </c>
    </row>
    <row r="321" spans="1:13" s="249" customFormat="1" ht="12.75" customHeight="1" outlineLevel="1" x14ac:dyDescent="0.2">
      <c r="A321" s="250"/>
      <c r="B321" s="250"/>
      <c r="C321" s="250"/>
      <c r="D321" s="311" t="s">
        <v>134</v>
      </c>
      <c r="E321" s="307">
        <v>54193</v>
      </c>
      <c r="F321" s="310">
        <v>7.3749999999999996E-2</v>
      </c>
      <c r="G321" s="312">
        <v>7.3999999999999996E-2</v>
      </c>
      <c r="H321" s="310">
        <v>7.5200000000000003E-2</v>
      </c>
      <c r="I321" s="246">
        <v>7.4201400000000001E-2</v>
      </c>
      <c r="J321" s="312">
        <v>7.4300000000000005E-2</v>
      </c>
      <c r="K321" s="319">
        <v>7807100</v>
      </c>
      <c r="L321" s="319">
        <v>1800000</v>
      </c>
      <c r="M321" s="318">
        <f t="shared" si="39"/>
        <v>4.3372777777777776</v>
      </c>
    </row>
    <row r="322" spans="1:13" s="249" customFormat="1" ht="12.75" customHeight="1" outlineLevel="1" x14ac:dyDescent="0.2">
      <c r="A322" s="490" t="s">
        <v>121</v>
      </c>
      <c r="B322" s="491"/>
      <c r="C322" s="491"/>
      <c r="D322" s="491"/>
      <c r="E322" s="491"/>
      <c r="F322" s="491"/>
      <c r="G322" s="491"/>
      <c r="H322" s="491"/>
      <c r="I322" s="491"/>
      <c r="J322" s="492"/>
      <c r="K322" s="349">
        <f>SUM(K315:K321)</f>
        <v>106008700</v>
      </c>
      <c r="L322" s="349">
        <f>SUM(L315:L321)</f>
        <v>22000000</v>
      </c>
      <c r="M322" s="257"/>
    </row>
    <row r="323" spans="1:13" s="253" customFormat="1" ht="12.75" customHeight="1" outlineLevel="1" x14ac:dyDescent="0.2">
      <c r="A323" s="293">
        <v>44042</v>
      </c>
      <c r="B323" s="293">
        <v>44057</v>
      </c>
      <c r="C323" s="350" t="s">
        <v>170</v>
      </c>
      <c r="D323" s="351" t="s">
        <v>148</v>
      </c>
      <c r="E323" s="352">
        <v>52336</v>
      </c>
      <c r="F323" s="353">
        <v>6.7500000000000004E-2</v>
      </c>
      <c r="G323" s="354" t="s">
        <v>130</v>
      </c>
      <c r="H323" s="354" t="s">
        <v>130</v>
      </c>
      <c r="I323" s="355" t="s">
        <v>130</v>
      </c>
      <c r="J323" s="354" t="s">
        <v>130</v>
      </c>
      <c r="K323" s="356">
        <v>2000000</v>
      </c>
      <c r="L323" s="356">
        <v>2000000</v>
      </c>
      <c r="M323" s="318">
        <f t="shared" ref="M323" si="40">IF(L323=0,0,K323/L323)</f>
        <v>1</v>
      </c>
    </row>
    <row r="324" spans="1:13" s="180" customFormat="1" ht="12.75" customHeight="1" x14ac:dyDescent="0.2">
      <c r="A324" s="468" t="s">
        <v>121</v>
      </c>
      <c r="B324" s="469"/>
      <c r="C324" s="469"/>
      <c r="D324" s="469"/>
      <c r="E324" s="469"/>
      <c r="F324" s="469"/>
      <c r="G324" s="469"/>
      <c r="H324" s="469"/>
      <c r="I324" s="469"/>
      <c r="J324" s="470"/>
      <c r="K324" s="380">
        <f>SUM(K323)</f>
        <v>2000000</v>
      </c>
      <c r="L324" s="380">
        <f>SUM(L323)</f>
        <v>2000000</v>
      </c>
      <c r="M324" s="181"/>
    </row>
    <row r="325" spans="1:13" s="249" customFormat="1" ht="12.75" customHeight="1" outlineLevel="1" x14ac:dyDescent="0.2">
      <c r="A325" s="293">
        <v>44061</v>
      </c>
      <c r="B325" s="293">
        <v>44067</v>
      </c>
      <c r="C325" s="295" t="s">
        <v>145</v>
      </c>
      <c r="D325" s="336" t="s">
        <v>259</v>
      </c>
      <c r="E325" s="208">
        <v>44232</v>
      </c>
      <c r="F325" s="339" t="s">
        <v>128</v>
      </c>
      <c r="G325" s="381">
        <v>3.4062500000000002E-2</v>
      </c>
      <c r="H325" s="381">
        <v>3.5312499999999997E-2</v>
      </c>
      <c r="I325" s="381">
        <v>3.4062500000000002E-2</v>
      </c>
      <c r="J325" s="382">
        <v>3.4062500000000002E-2</v>
      </c>
      <c r="K325" s="370">
        <v>6265000</v>
      </c>
      <c r="L325" s="371">
        <v>1000000</v>
      </c>
      <c r="M325" s="328">
        <f t="shared" ref="M325:M329" si="41">IF(L325=0,0,K325/L325)</f>
        <v>6.2649999999999997</v>
      </c>
    </row>
    <row r="326" spans="1:13" s="253" customFormat="1" ht="12.75" customHeight="1" outlineLevel="1" x14ac:dyDescent="0.2">
      <c r="A326" s="250"/>
      <c r="B326" s="250"/>
      <c r="C326" s="250"/>
      <c r="D326" s="305" t="s">
        <v>196</v>
      </c>
      <c r="E326" s="301">
        <v>45061</v>
      </c>
      <c r="F326" s="304">
        <v>6.5000000000000002E-2</v>
      </c>
      <c r="G326" s="383">
        <v>4.4374999999999998E-2</v>
      </c>
      <c r="H326" s="383">
        <v>5.0312500000000003E-2</v>
      </c>
      <c r="I326" s="383">
        <v>4.4374999999999998E-2</v>
      </c>
      <c r="J326" s="384">
        <v>4.4374999999999998E-2</v>
      </c>
      <c r="K326" s="372">
        <v>15815000</v>
      </c>
      <c r="L326" s="373">
        <v>1100000</v>
      </c>
      <c r="M326" s="328">
        <f t="shared" si="41"/>
        <v>14.377272727272727</v>
      </c>
    </row>
    <row r="327" spans="1:13" s="253" customFormat="1" ht="12.75" customHeight="1" outlineLevel="1" x14ac:dyDescent="0.2">
      <c r="A327" s="250"/>
      <c r="B327" s="250"/>
      <c r="C327" s="250"/>
      <c r="D327" s="305" t="s">
        <v>147</v>
      </c>
      <c r="E327" s="301">
        <v>45580</v>
      </c>
      <c r="F327" s="304">
        <v>6.6250000000000003E-2</v>
      </c>
      <c r="G327" s="383">
        <v>5.2812499999999998E-2</v>
      </c>
      <c r="H327" s="385">
        <v>5.9374999999999997E-2</v>
      </c>
      <c r="I327" s="383">
        <v>5.2812499999999998E-2</v>
      </c>
      <c r="J327" s="384">
        <v>5.2812499999999998E-2</v>
      </c>
      <c r="K327" s="372">
        <v>11503000</v>
      </c>
      <c r="L327" s="373">
        <v>1000000</v>
      </c>
      <c r="M327" s="328">
        <f t="shared" si="41"/>
        <v>11.503</v>
      </c>
    </row>
    <row r="328" spans="1:13" s="253" customFormat="1" ht="12.75" customHeight="1" outlineLevel="1" x14ac:dyDescent="0.2">
      <c r="A328" s="250"/>
      <c r="B328" s="250"/>
      <c r="C328" s="250"/>
      <c r="D328" s="305" t="s">
        <v>260</v>
      </c>
      <c r="E328" s="301">
        <v>48714</v>
      </c>
      <c r="F328" s="310">
        <v>8.3750000000000005E-2</v>
      </c>
      <c r="G328" s="383">
        <v>7.1249999999999994E-2</v>
      </c>
      <c r="H328" s="383">
        <v>8.1562499999999996E-2</v>
      </c>
      <c r="I328" s="383">
        <v>7.1897299999999997E-2</v>
      </c>
      <c r="J328" s="386">
        <v>7.2187500000000002E-2</v>
      </c>
      <c r="K328" s="372">
        <v>7088000</v>
      </c>
      <c r="L328" s="373">
        <v>2000000</v>
      </c>
      <c r="M328" s="328">
        <f t="shared" si="41"/>
        <v>3.544</v>
      </c>
    </row>
    <row r="329" spans="1:13" s="249" customFormat="1" ht="12.75" customHeight="1" outlineLevel="1" x14ac:dyDescent="0.2">
      <c r="A329" s="331"/>
      <c r="B329" s="331"/>
      <c r="C329" s="331"/>
      <c r="D329" s="337" t="s">
        <v>221</v>
      </c>
      <c r="E329" s="338">
        <v>53615</v>
      </c>
      <c r="F329" s="378">
        <v>7.7499999999999999E-2</v>
      </c>
      <c r="G329" s="387">
        <v>7.4999999999999997E-2</v>
      </c>
      <c r="H329" s="387">
        <v>7.7812500000000007E-2</v>
      </c>
      <c r="I329" s="388">
        <v>7.6047500000000004E-2</v>
      </c>
      <c r="J329" s="392">
        <v>7.6249999999999998E-2</v>
      </c>
      <c r="K329" s="374">
        <v>8703200</v>
      </c>
      <c r="L329" s="373">
        <v>4400000</v>
      </c>
      <c r="M329" s="328">
        <f t="shared" si="41"/>
        <v>1.978</v>
      </c>
    </row>
    <row r="330" spans="1:13" s="180" customFormat="1" ht="12.75" customHeight="1" x14ac:dyDescent="0.2">
      <c r="A330" s="468" t="s">
        <v>121</v>
      </c>
      <c r="B330" s="469"/>
      <c r="C330" s="469"/>
      <c r="D330" s="469"/>
      <c r="E330" s="469"/>
      <c r="F330" s="469"/>
      <c r="G330" s="469"/>
      <c r="H330" s="469"/>
      <c r="I330" s="469"/>
      <c r="J330" s="470"/>
      <c r="K330" s="380">
        <f>SUM(K325:K329)</f>
        <v>49374200</v>
      </c>
      <c r="L330" s="380">
        <f>SUM(L325:L329)</f>
        <v>9500000</v>
      </c>
      <c r="M330" s="181"/>
    </row>
    <row r="331" spans="1:13" s="253" customFormat="1" ht="12.75" customHeight="1" outlineLevel="1" x14ac:dyDescent="0.2">
      <c r="A331" s="293">
        <v>44061</v>
      </c>
      <c r="B331" s="293">
        <v>44070</v>
      </c>
      <c r="C331" s="350" t="s">
        <v>170</v>
      </c>
      <c r="D331" s="351" t="s">
        <v>266</v>
      </c>
      <c r="E331" s="352">
        <v>47722</v>
      </c>
      <c r="F331" s="353">
        <v>6.3700000000000007E-2</v>
      </c>
      <c r="G331" s="354" t="s">
        <v>130</v>
      </c>
      <c r="H331" s="354" t="s">
        <v>130</v>
      </c>
      <c r="I331" s="355" t="s">
        <v>130</v>
      </c>
      <c r="J331" s="354" t="s">
        <v>130</v>
      </c>
      <c r="K331" s="356">
        <v>3000000</v>
      </c>
      <c r="L331" s="356">
        <v>3000000</v>
      </c>
      <c r="M331" s="318">
        <f t="shared" ref="M331" si="42">IF(L331=0,0,K331/L331)</f>
        <v>1</v>
      </c>
    </row>
    <row r="332" spans="1:13" s="180" customFormat="1" ht="12.75" customHeight="1" x14ac:dyDescent="0.2">
      <c r="A332" s="468" t="s">
        <v>121</v>
      </c>
      <c r="B332" s="469"/>
      <c r="C332" s="469"/>
      <c r="D332" s="469"/>
      <c r="E332" s="469"/>
      <c r="F332" s="469"/>
      <c r="G332" s="469"/>
      <c r="H332" s="469"/>
      <c r="I332" s="469"/>
      <c r="J332" s="470"/>
      <c r="K332" s="380">
        <f>SUM(K331)</f>
        <v>3000000</v>
      </c>
      <c r="L332" s="380">
        <f>SUM(L331)</f>
        <v>3000000</v>
      </c>
      <c r="M332" s="181"/>
    </row>
    <row r="333" spans="1:13" s="249" customFormat="1" ht="12.75" customHeight="1" outlineLevel="1" x14ac:dyDescent="0.2">
      <c r="A333" s="307">
        <v>44068</v>
      </c>
      <c r="B333" s="307">
        <v>44070</v>
      </c>
      <c r="C333" s="241" t="s">
        <v>145</v>
      </c>
      <c r="D333" s="308" t="s">
        <v>261</v>
      </c>
      <c r="E333" s="309">
        <v>44161</v>
      </c>
      <c r="F333" s="317" t="s">
        <v>128</v>
      </c>
      <c r="G333" s="320">
        <v>3.1800000000000002E-2</v>
      </c>
      <c r="H333" s="320">
        <v>0.05</v>
      </c>
      <c r="I333" s="274">
        <v>3.2112000000000002E-2</v>
      </c>
      <c r="J333" s="274">
        <v>3.2500000000000001E-2</v>
      </c>
      <c r="K333" s="247">
        <v>4105000</v>
      </c>
      <c r="L333" s="247">
        <v>1000000</v>
      </c>
      <c r="M333" s="318">
        <f t="shared" ref="M333:M339" si="43">IF(L333=0,0,K333/L333)</f>
        <v>4.1050000000000004</v>
      </c>
    </row>
    <row r="334" spans="1:13" s="253" customFormat="1" ht="12.75" customHeight="1" outlineLevel="1" x14ac:dyDescent="0.2">
      <c r="A334" s="250"/>
      <c r="B334" s="250"/>
      <c r="C334" s="391"/>
      <c r="D334" s="308" t="s">
        <v>207</v>
      </c>
      <c r="E334" s="309">
        <v>44350</v>
      </c>
      <c r="F334" s="317" t="s">
        <v>128</v>
      </c>
      <c r="G334" s="245">
        <v>3.4500000000000003E-2</v>
      </c>
      <c r="H334" s="245">
        <v>3.5999999999999997E-2</v>
      </c>
      <c r="I334" s="246">
        <v>3.4759999999999999E-2</v>
      </c>
      <c r="J334" s="246">
        <v>3.5000000000000003E-2</v>
      </c>
      <c r="K334" s="247">
        <v>8280000</v>
      </c>
      <c r="L334" s="247">
        <v>1000000</v>
      </c>
      <c r="M334" s="318">
        <f t="shared" si="43"/>
        <v>8.2799999999999994</v>
      </c>
    </row>
    <row r="335" spans="1:13" s="253" customFormat="1" ht="12.75" customHeight="1" outlineLevel="1" x14ac:dyDescent="0.2">
      <c r="A335" s="250"/>
      <c r="B335" s="250"/>
      <c r="C335" s="391"/>
      <c r="D335" s="308" t="s">
        <v>257</v>
      </c>
      <c r="E335" s="309">
        <v>46127</v>
      </c>
      <c r="F335" s="310">
        <v>5.5E-2</v>
      </c>
      <c r="G335" s="245">
        <v>5.3900000000000003E-2</v>
      </c>
      <c r="H335" s="245">
        <v>5.6000000000000001E-2</v>
      </c>
      <c r="I335" s="246">
        <v>5.4147399999999998E-2</v>
      </c>
      <c r="J335" s="246">
        <v>5.45E-2</v>
      </c>
      <c r="K335" s="319">
        <v>30003900</v>
      </c>
      <c r="L335" s="319">
        <v>8200000</v>
      </c>
      <c r="M335" s="318">
        <f t="shared" si="43"/>
        <v>3.6590121951219512</v>
      </c>
    </row>
    <row r="336" spans="1:13" s="253" customFormat="1" ht="12.75" customHeight="1" outlineLevel="1" x14ac:dyDescent="0.2">
      <c r="A336" s="250"/>
      <c r="B336" s="250"/>
      <c r="C336" s="391"/>
      <c r="D336" s="308" t="s">
        <v>258</v>
      </c>
      <c r="E336" s="309">
        <v>47894</v>
      </c>
      <c r="F336" s="310">
        <v>6.5000000000000002E-2</v>
      </c>
      <c r="G336" s="245">
        <v>6.3899999999999998E-2</v>
      </c>
      <c r="H336" s="245">
        <v>6.6000000000000003E-2</v>
      </c>
      <c r="I336" s="246">
        <v>6.4692700000000006E-2</v>
      </c>
      <c r="J336" s="246">
        <v>6.5100000000000005E-2</v>
      </c>
      <c r="K336" s="319">
        <v>15125400</v>
      </c>
      <c r="L336" s="319">
        <v>5250000</v>
      </c>
      <c r="M336" s="318">
        <f t="shared" si="43"/>
        <v>2.8810285714285713</v>
      </c>
    </row>
    <row r="337" spans="1:13" s="253" customFormat="1" ht="12.75" customHeight="1" outlineLevel="1" x14ac:dyDescent="0.2">
      <c r="A337" s="250"/>
      <c r="B337" s="250"/>
      <c r="C337" s="391"/>
      <c r="D337" s="308" t="s">
        <v>136</v>
      </c>
      <c r="E337" s="309">
        <v>49475</v>
      </c>
      <c r="F337" s="310">
        <v>7.4999999999999997E-2</v>
      </c>
      <c r="G337" s="245">
        <v>7.1499999999999994E-2</v>
      </c>
      <c r="H337" s="245">
        <v>7.3200000000000001E-2</v>
      </c>
      <c r="I337" s="246">
        <v>7.2196499999999997E-2</v>
      </c>
      <c r="J337" s="246">
        <v>7.2300000000000003E-2</v>
      </c>
      <c r="K337" s="319">
        <v>4872800</v>
      </c>
      <c r="L337" s="319">
        <v>850000</v>
      </c>
      <c r="M337" s="318">
        <f t="shared" si="43"/>
        <v>5.7327058823529411</v>
      </c>
    </row>
    <row r="338" spans="1:13" s="253" customFormat="1" ht="12.75" customHeight="1" outlineLevel="1" x14ac:dyDescent="0.2">
      <c r="A338" s="250"/>
      <c r="B338" s="250"/>
      <c r="C338" s="391"/>
      <c r="D338" s="308" t="s">
        <v>144</v>
      </c>
      <c r="E338" s="309">
        <v>51241</v>
      </c>
      <c r="F338" s="310">
        <v>7.4999999999999997E-2</v>
      </c>
      <c r="G338" s="245">
        <v>7.2499999999999995E-2</v>
      </c>
      <c r="H338" s="245">
        <v>7.3800000000000004E-2</v>
      </c>
      <c r="I338" s="246">
        <v>7.2798699999999994E-2</v>
      </c>
      <c r="J338" s="246">
        <v>7.2999999999999995E-2</v>
      </c>
      <c r="K338" s="319">
        <v>7022400</v>
      </c>
      <c r="L338" s="319">
        <v>1800000</v>
      </c>
      <c r="M338" s="318">
        <f t="shared" si="43"/>
        <v>3.9013333333333335</v>
      </c>
    </row>
    <row r="339" spans="1:13" s="249" customFormat="1" ht="12.75" customHeight="1" outlineLevel="1" x14ac:dyDescent="0.2">
      <c r="A339" s="250"/>
      <c r="B339" s="250"/>
      <c r="C339" s="250"/>
      <c r="D339" s="311" t="s">
        <v>134</v>
      </c>
      <c r="E339" s="307">
        <v>54193</v>
      </c>
      <c r="F339" s="310">
        <v>7.3749999999999996E-2</v>
      </c>
      <c r="G339" s="312">
        <v>7.2999999999999995E-2</v>
      </c>
      <c r="H339" s="310">
        <v>7.46E-2</v>
      </c>
      <c r="I339" s="246">
        <v>7.3449600000000004E-2</v>
      </c>
      <c r="J339" s="312">
        <v>7.3499999999999996E-2</v>
      </c>
      <c r="K339" s="319">
        <v>8939500</v>
      </c>
      <c r="L339" s="319">
        <v>3900000</v>
      </c>
      <c r="M339" s="318">
        <f t="shared" si="43"/>
        <v>2.2921794871794874</v>
      </c>
    </row>
    <row r="340" spans="1:13" s="249" customFormat="1" ht="12.75" customHeight="1" outlineLevel="1" x14ac:dyDescent="0.2">
      <c r="A340" s="474" t="s">
        <v>121</v>
      </c>
      <c r="B340" s="475"/>
      <c r="C340" s="475"/>
      <c r="D340" s="475"/>
      <c r="E340" s="475"/>
      <c r="F340" s="475"/>
      <c r="G340" s="475"/>
      <c r="H340" s="475"/>
      <c r="I340" s="475"/>
      <c r="J340" s="476"/>
      <c r="K340" s="396">
        <f>SUM(K333:K339)</f>
        <v>78349000</v>
      </c>
      <c r="L340" s="396">
        <f>SUM(L333:L339)</f>
        <v>22000000</v>
      </c>
      <c r="M340" s="396"/>
    </row>
    <row r="341" spans="1:13" s="253" customFormat="1" ht="17.25" customHeight="1" outlineLevel="1" x14ac:dyDescent="0.2">
      <c r="A341" s="307">
        <v>44070</v>
      </c>
      <c r="B341" s="307">
        <v>44071</v>
      </c>
      <c r="C341" s="241" t="s">
        <v>170</v>
      </c>
      <c r="D341" s="265" t="s">
        <v>262</v>
      </c>
      <c r="E341" s="266">
        <v>45897</v>
      </c>
      <c r="F341" s="503" t="s">
        <v>253</v>
      </c>
      <c r="G341" s="268" t="s">
        <v>130</v>
      </c>
      <c r="H341" s="268" t="s">
        <v>130</v>
      </c>
      <c r="I341" s="269">
        <v>1</v>
      </c>
      <c r="J341" s="268" t="s">
        <v>130</v>
      </c>
      <c r="K341" s="270">
        <v>4245000</v>
      </c>
      <c r="L341" s="270">
        <v>4245000</v>
      </c>
      <c r="M341" s="318">
        <f t="shared" ref="M341:M344" si="44">IF(L341=0,0,K341/L341)</f>
        <v>1</v>
      </c>
    </row>
    <row r="342" spans="1:13" s="253" customFormat="1" ht="16.5" customHeight="1" outlineLevel="1" x14ac:dyDescent="0.2">
      <c r="A342" s="250"/>
      <c r="B342" s="250"/>
      <c r="C342" s="393"/>
      <c r="D342" s="265" t="s">
        <v>263</v>
      </c>
      <c r="E342" s="266">
        <v>46262</v>
      </c>
      <c r="F342" s="503"/>
      <c r="G342" s="268" t="s">
        <v>130</v>
      </c>
      <c r="H342" s="268" t="s">
        <v>130</v>
      </c>
      <c r="I342" s="269">
        <v>1</v>
      </c>
      <c r="J342" s="268" t="s">
        <v>130</v>
      </c>
      <c r="K342" s="270">
        <v>4245000</v>
      </c>
      <c r="L342" s="270">
        <v>4245000</v>
      </c>
      <c r="M342" s="318">
        <f t="shared" si="44"/>
        <v>1</v>
      </c>
    </row>
    <row r="343" spans="1:13" s="272" customFormat="1" ht="17.25" customHeight="1" outlineLevel="1" x14ac:dyDescent="0.2">
      <c r="A343" s="263"/>
      <c r="B343" s="263"/>
      <c r="C343" s="264"/>
      <c r="D343" s="265" t="s">
        <v>264</v>
      </c>
      <c r="E343" s="266">
        <v>46627</v>
      </c>
      <c r="F343" s="503"/>
      <c r="G343" s="268" t="s">
        <v>130</v>
      </c>
      <c r="H343" s="268" t="s">
        <v>130</v>
      </c>
      <c r="I343" s="269">
        <v>1</v>
      </c>
      <c r="J343" s="268" t="s">
        <v>130</v>
      </c>
      <c r="K343" s="270">
        <v>4245000</v>
      </c>
      <c r="L343" s="270">
        <v>4245000</v>
      </c>
      <c r="M343" s="271">
        <f t="shared" si="44"/>
        <v>1</v>
      </c>
    </row>
    <row r="344" spans="1:13" s="272" customFormat="1" ht="15" customHeight="1" outlineLevel="1" x14ac:dyDescent="0.2">
      <c r="A344" s="263"/>
      <c r="B344" s="263"/>
      <c r="C344" s="264"/>
      <c r="D344" s="265" t="s">
        <v>265</v>
      </c>
      <c r="E344" s="266">
        <v>46993</v>
      </c>
      <c r="F344" s="503"/>
      <c r="G344" s="268" t="s">
        <v>130</v>
      </c>
      <c r="H344" s="268" t="s">
        <v>130</v>
      </c>
      <c r="I344" s="269">
        <v>1</v>
      </c>
      <c r="J344" s="268" t="s">
        <v>130</v>
      </c>
      <c r="K344" s="270">
        <v>4245000</v>
      </c>
      <c r="L344" s="270">
        <v>4245000</v>
      </c>
      <c r="M344" s="271">
        <f t="shared" si="44"/>
        <v>1</v>
      </c>
    </row>
    <row r="345" spans="1:13" s="249" customFormat="1" ht="12.75" customHeight="1" outlineLevel="1" x14ac:dyDescent="0.2">
      <c r="A345" s="474" t="s">
        <v>121</v>
      </c>
      <c r="B345" s="475"/>
      <c r="C345" s="475"/>
      <c r="D345" s="475"/>
      <c r="E345" s="475"/>
      <c r="F345" s="475"/>
      <c r="G345" s="475"/>
      <c r="H345" s="475"/>
      <c r="I345" s="475"/>
      <c r="J345" s="476"/>
      <c r="K345" s="396">
        <f>SUM(K341:K344)</f>
        <v>16980000</v>
      </c>
      <c r="L345" s="396">
        <f>SUM(L341:L344)</f>
        <v>16980000</v>
      </c>
      <c r="M345" s="396"/>
    </row>
    <row r="346" spans="1:13" s="180" customFormat="1" ht="12.75" customHeight="1" x14ac:dyDescent="0.2">
      <c r="A346" s="489" t="s">
        <v>254</v>
      </c>
      <c r="B346" s="489"/>
      <c r="C346" s="489"/>
      <c r="D346" s="489"/>
      <c r="E346" s="489"/>
      <c r="F346" s="489"/>
      <c r="G346" s="489"/>
      <c r="H346" s="489"/>
      <c r="I346" s="489"/>
      <c r="J346" s="489"/>
      <c r="K346" s="315">
        <f>SUM(K309,K314,K322,K324,K330,K332,K340,K345)</f>
        <v>377578000</v>
      </c>
      <c r="L346" s="315">
        <f>SUM(L309,L314,L322,L324,L330,L332,L340,L345)</f>
        <v>168580000</v>
      </c>
      <c r="M346" s="181"/>
    </row>
    <row r="347" spans="1:13" s="180" customFormat="1" ht="12.75" customHeight="1" x14ac:dyDescent="0.2">
      <c r="A347" s="468" t="s">
        <v>270</v>
      </c>
      <c r="B347" s="469"/>
      <c r="C347" s="469"/>
      <c r="D347" s="469"/>
      <c r="E347" s="469"/>
      <c r="F347" s="469"/>
      <c r="G347" s="469"/>
      <c r="H347" s="469"/>
      <c r="I347" s="469"/>
      <c r="J347" s="470"/>
      <c r="K347" s="315">
        <f>SUM(K303,K346)</f>
        <v>2430041003</v>
      </c>
      <c r="L347" s="315">
        <f>SUM(L303,L346)</f>
        <v>916140403</v>
      </c>
      <c r="M347" s="181"/>
    </row>
    <row r="348" spans="1:13" s="408" customFormat="1" x14ac:dyDescent="0.2">
      <c r="A348" s="398">
        <v>44075</v>
      </c>
      <c r="B348" s="398">
        <v>44077</v>
      </c>
      <c r="C348" s="399" t="s">
        <v>145</v>
      </c>
      <c r="D348" s="400" t="s">
        <v>271</v>
      </c>
      <c r="E348" s="401">
        <v>44257</v>
      </c>
      <c r="F348" s="402" t="s">
        <v>128</v>
      </c>
      <c r="G348" s="403">
        <v>3.1875000000000001E-2</v>
      </c>
      <c r="H348" s="403">
        <v>3.5000000000000003E-2</v>
      </c>
      <c r="I348" s="403">
        <v>3.3333300000000003E-2</v>
      </c>
      <c r="J348" s="404">
        <v>3.3437500000000002E-2</v>
      </c>
      <c r="K348" s="405">
        <v>9740000</v>
      </c>
      <c r="L348" s="406">
        <v>1500000</v>
      </c>
      <c r="M348" s="407">
        <f>IF(L348=0,0,K348/L348)</f>
        <v>6.4933333333333332</v>
      </c>
    </row>
    <row r="349" spans="1:13" s="408" customFormat="1" x14ac:dyDescent="0.2">
      <c r="A349" s="409"/>
      <c r="B349" s="409"/>
      <c r="C349" s="409"/>
      <c r="D349" s="410" t="s">
        <v>196</v>
      </c>
      <c r="E349" s="411">
        <v>45061</v>
      </c>
      <c r="F349" s="412">
        <v>6.5000000000000002E-2</v>
      </c>
      <c r="G349" s="413">
        <v>4.2814999999999999E-2</v>
      </c>
      <c r="H349" s="413">
        <v>5.2499999999999998E-2</v>
      </c>
      <c r="I349" s="413">
        <v>4.5646300000000001E-2</v>
      </c>
      <c r="J349" s="414">
        <v>4.5937499999999999E-2</v>
      </c>
      <c r="K349" s="415">
        <v>8765000</v>
      </c>
      <c r="L349" s="416">
        <v>3300000</v>
      </c>
      <c r="M349" s="407">
        <f>IF(L349=0,0,K349/L349)</f>
        <v>2.6560606060606062</v>
      </c>
    </row>
    <row r="350" spans="1:13" s="408" customFormat="1" x14ac:dyDescent="0.2">
      <c r="A350" s="409"/>
      <c r="B350" s="409"/>
      <c r="C350" s="409"/>
      <c r="D350" s="410" t="s">
        <v>147</v>
      </c>
      <c r="E350" s="411">
        <v>45580</v>
      </c>
      <c r="F350" s="412">
        <v>6.6250000000000003E-2</v>
      </c>
      <c r="G350" s="413">
        <v>5.0937499999999997E-2</v>
      </c>
      <c r="H350" s="417">
        <v>5.5E-2</v>
      </c>
      <c r="I350" s="413">
        <v>5.2642399999999999E-2</v>
      </c>
      <c r="J350" s="414">
        <v>5.2812499999999998E-2</v>
      </c>
      <c r="K350" s="415">
        <v>8199000</v>
      </c>
      <c r="L350" s="416">
        <v>1850000</v>
      </c>
      <c r="M350" s="407">
        <f>IF(L350=0,0,K350/L350)</f>
        <v>4.4318918918918921</v>
      </c>
    </row>
    <row r="351" spans="1:13" s="408" customFormat="1" x14ac:dyDescent="0.2">
      <c r="A351" s="409"/>
      <c r="B351" s="409"/>
      <c r="C351" s="409"/>
      <c r="D351" s="410" t="s">
        <v>260</v>
      </c>
      <c r="E351" s="411">
        <v>48714</v>
      </c>
      <c r="F351" s="418">
        <v>8.3750000000000005E-2</v>
      </c>
      <c r="G351" s="413">
        <v>6.8437499999999998E-2</v>
      </c>
      <c r="H351" s="413">
        <v>7.4062500000000003E-2</v>
      </c>
      <c r="I351" s="413">
        <v>7.1945599999999998E-2</v>
      </c>
      <c r="J351" s="419">
        <v>7.2187500000000002E-2</v>
      </c>
      <c r="K351" s="415">
        <v>4914000</v>
      </c>
      <c r="L351" s="416">
        <v>1650000</v>
      </c>
      <c r="M351" s="407">
        <f>IF(L351=0,0,K351/L351)</f>
        <v>2.978181818181818</v>
      </c>
    </row>
    <row r="352" spans="1:13" s="408" customFormat="1" x14ac:dyDescent="0.2">
      <c r="A352" s="420"/>
      <c r="B352" s="420"/>
      <c r="C352" s="420"/>
      <c r="D352" s="421" t="s">
        <v>221</v>
      </c>
      <c r="E352" s="422">
        <v>53615</v>
      </c>
      <c r="F352" s="423">
        <v>7.7499999999999999E-2</v>
      </c>
      <c r="G352" s="424">
        <v>7.5624999999999998E-2</v>
      </c>
      <c r="H352" s="424">
        <v>7.7812500000000007E-2</v>
      </c>
      <c r="I352" s="424">
        <v>7.5825900000000002E-2</v>
      </c>
      <c r="J352" s="425">
        <v>7.5937500000000005E-2</v>
      </c>
      <c r="K352" s="426">
        <v>6707000</v>
      </c>
      <c r="L352" s="416">
        <v>1200000</v>
      </c>
      <c r="M352" s="407">
        <f>IF(L352=0,0,K352/L352)</f>
        <v>5.5891666666666664</v>
      </c>
    </row>
    <row r="353" spans="1:13" s="408" customFormat="1" x14ac:dyDescent="0.2">
      <c r="A353" s="505" t="s">
        <v>121</v>
      </c>
      <c r="B353" s="505"/>
      <c r="C353" s="505"/>
      <c r="D353" s="505"/>
      <c r="E353" s="505"/>
      <c r="F353" s="505"/>
      <c r="G353" s="505"/>
      <c r="H353" s="505"/>
      <c r="I353" s="505"/>
      <c r="J353" s="505"/>
      <c r="K353" s="427">
        <f>SUM(K348:K352)</f>
        <v>38325000</v>
      </c>
      <c r="L353" s="427">
        <f>SUM(L348:L352)</f>
        <v>9500000</v>
      </c>
      <c r="M353" s="407"/>
    </row>
    <row r="354" spans="1:13" s="249" customFormat="1" ht="12.75" customHeight="1" outlineLevel="1" x14ac:dyDescent="0.2">
      <c r="A354" s="307">
        <v>44082</v>
      </c>
      <c r="B354" s="307">
        <v>44084</v>
      </c>
      <c r="C354" s="241" t="s">
        <v>145</v>
      </c>
      <c r="D354" s="308" t="s">
        <v>268</v>
      </c>
      <c r="E354" s="309">
        <v>44174</v>
      </c>
      <c r="F354" s="317" t="s">
        <v>128</v>
      </c>
      <c r="G354" s="320">
        <v>3.09E-2</v>
      </c>
      <c r="H354" s="320">
        <v>3.49E-2</v>
      </c>
      <c r="I354" s="274">
        <v>3.1562E-2</v>
      </c>
      <c r="J354" s="274">
        <v>3.2000000000000001E-2</v>
      </c>
      <c r="K354" s="247">
        <v>2600000</v>
      </c>
      <c r="L354" s="247">
        <v>1000000</v>
      </c>
      <c r="M354" s="318">
        <f t="shared" ref="M354:M360" si="45">IF(L354=0,0,K354/L354)</f>
        <v>2.6</v>
      </c>
    </row>
    <row r="355" spans="1:13" s="253" customFormat="1" ht="12.75" customHeight="1" outlineLevel="1" x14ac:dyDescent="0.2">
      <c r="A355" s="250"/>
      <c r="B355" s="250"/>
      <c r="C355" s="397"/>
      <c r="D355" s="308" t="s">
        <v>269</v>
      </c>
      <c r="E355" s="309">
        <v>44448</v>
      </c>
      <c r="F355" s="317" t="s">
        <v>128</v>
      </c>
      <c r="G355" s="245">
        <v>3.4000000000000002E-2</v>
      </c>
      <c r="H355" s="245">
        <v>4.2099999999999999E-2</v>
      </c>
      <c r="I355" s="246">
        <v>3.4000000000000002E-2</v>
      </c>
      <c r="J355" s="246">
        <v>3.4000000000000002E-2</v>
      </c>
      <c r="K355" s="247">
        <v>7580000</v>
      </c>
      <c r="L355" s="247">
        <v>2000000</v>
      </c>
      <c r="M355" s="318">
        <f t="shared" si="45"/>
        <v>3.79</v>
      </c>
    </row>
    <row r="356" spans="1:13" s="253" customFormat="1" ht="12.75" customHeight="1" outlineLevel="1" x14ac:dyDescent="0.2">
      <c r="A356" s="250"/>
      <c r="B356" s="250"/>
      <c r="C356" s="397"/>
      <c r="D356" s="308" t="s">
        <v>257</v>
      </c>
      <c r="E356" s="309">
        <v>46127</v>
      </c>
      <c r="F356" s="310">
        <v>5.5E-2</v>
      </c>
      <c r="G356" s="245">
        <v>5.3800000000000001E-2</v>
      </c>
      <c r="H356" s="245">
        <v>5.5100000000000003E-2</v>
      </c>
      <c r="I356" s="246">
        <v>5.4191499999999997E-2</v>
      </c>
      <c r="J356" s="246">
        <v>5.4399999999999997E-2</v>
      </c>
      <c r="K356" s="319">
        <v>12683000</v>
      </c>
      <c r="L356" s="319">
        <v>7600000</v>
      </c>
      <c r="M356" s="318">
        <f t="shared" si="45"/>
        <v>1.6688157894736841</v>
      </c>
    </row>
    <row r="357" spans="1:13" s="253" customFormat="1" ht="12.75" customHeight="1" outlineLevel="1" x14ac:dyDescent="0.2">
      <c r="A357" s="250"/>
      <c r="B357" s="250"/>
      <c r="C357" s="397"/>
      <c r="D357" s="308" t="s">
        <v>258</v>
      </c>
      <c r="E357" s="309">
        <v>47894</v>
      </c>
      <c r="F357" s="310">
        <v>6.5000000000000002E-2</v>
      </c>
      <c r="G357" s="245">
        <v>6.7000000000000004E-2</v>
      </c>
      <c r="H357" s="245">
        <v>7.0000000000000007E-2</v>
      </c>
      <c r="I357" s="246">
        <v>6.7358799999999996E-2</v>
      </c>
      <c r="J357" s="246">
        <v>6.7500000000000004E-2</v>
      </c>
      <c r="K357" s="319">
        <v>12208000</v>
      </c>
      <c r="L357" s="319">
        <v>7350000</v>
      </c>
      <c r="M357" s="318">
        <f t="shared" si="45"/>
        <v>1.660952380952381</v>
      </c>
    </row>
    <row r="358" spans="1:13" s="253" customFormat="1" ht="12.75" customHeight="1" outlineLevel="1" x14ac:dyDescent="0.2">
      <c r="A358" s="250"/>
      <c r="B358" s="250"/>
      <c r="C358" s="397"/>
      <c r="D358" s="308" t="s">
        <v>136</v>
      </c>
      <c r="E358" s="309">
        <v>49475</v>
      </c>
      <c r="F358" s="310">
        <v>7.4999999999999997E-2</v>
      </c>
      <c r="G358" s="245">
        <v>7.3499999999999996E-2</v>
      </c>
      <c r="H358" s="245">
        <v>7.4800000000000005E-2</v>
      </c>
      <c r="I358" s="246">
        <v>7.3838500000000001E-2</v>
      </c>
      <c r="J358" s="246">
        <v>7.3899999999999993E-2</v>
      </c>
      <c r="K358" s="319">
        <v>7875400</v>
      </c>
      <c r="L358" s="319">
        <v>2550000</v>
      </c>
      <c r="M358" s="318">
        <f t="shared" si="45"/>
        <v>3.0883921568627453</v>
      </c>
    </row>
    <row r="359" spans="1:13" s="253" customFormat="1" ht="12.75" customHeight="1" outlineLevel="1" x14ac:dyDescent="0.2">
      <c r="A359" s="250"/>
      <c r="B359" s="250"/>
      <c r="C359" s="397"/>
      <c r="D359" s="308" t="s">
        <v>144</v>
      </c>
      <c r="E359" s="309">
        <v>51241</v>
      </c>
      <c r="F359" s="310">
        <v>7.4999999999999997E-2</v>
      </c>
      <c r="G359" s="245">
        <v>7.3999999999999996E-2</v>
      </c>
      <c r="H359" s="245">
        <v>7.4999999999999997E-2</v>
      </c>
      <c r="I359" s="246">
        <v>7.4196399999999996E-2</v>
      </c>
      <c r="J359" s="246">
        <v>7.4200000000000002E-2</v>
      </c>
      <c r="K359" s="319">
        <v>4354800</v>
      </c>
      <c r="L359" s="319">
        <v>1500000</v>
      </c>
      <c r="M359" s="318">
        <f t="shared" si="45"/>
        <v>2.9032</v>
      </c>
    </row>
    <row r="360" spans="1:13" s="249" customFormat="1" ht="12.75" customHeight="1" outlineLevel="1" x14ac:dyDescent="0.2">
      <c r="A360" s="250"/>
      <c r="B360" s="250"/>
      <c r="C360" s="250"/>
      <c r="D360" s="311" t="s">
        <v>134</v>
      </c>
      <c r="E360" s="307">
        <v>54193</v>
      </c>
      <c r="F360" s="310">
        <v>7.3749999999999996E-2</v>
      </c>
      <c r="G360" s="312">
        <v>7.4200000000000002E-2</v>
      </c>
      <c r="H360" s="310">
        <v>7.5499999999999998E-2</v>
      </c>
      <c r="I360" s="246" t="s">
        <v>130</v>
      </c>
      <c r="J360" s="312" t="s">
        <v>130</v>
      </c>
      <c r="K360" s="319">
        <v>4962300</v>
      </c>
      <c r="L360" s="319">
        <v>0</v>
      </c>
      <c r="M360" s="318">
        <f t="shared" si="45"/>
        <v>0</v>
      </c>
    </row>
    <row r="361" spans="1:13" s="249" customFormat="1" ht="12.75" customHeight="1" outlineLevel="1" x14ac:dyDescent="0.2">
      <c r="A361" s="474" t="s">
        <v>121</v>
      </c>
      <c r="B361" s="475"/>
      <c r="C361" s="475"/>
      <c r="D361" s="475"/>
      <c r="E361" s="475"/>
      <c r="F361" s="475"/>
      <c r="G361" s="475"/>
      <c r="H361" s="475"/>
      <c r="I361" s="475"/>
      <c r="J361" s="476"/>
      <c r="K361" s="396">
        <f>SUM(K354:K360)</f>
        <v>52263500</v>
      </c>
      <c r="L361" s="396">
        <f>SUM(L354:L360)</f>
        <v>22000000</v>
      </c>
      <c r="M361" s="396"/>
    </row>
    <row r="362" spans="1:13" s="249" customFormat="1" ht="12.75" customHeight="1" outlineLevel="1" x14ac:dyDescent="0.2">
      <c r="A362" s="398">
        <v>44089</v>
      </c>
      <c r="B362" s="398">
        <v>44091</v>
      </c>
      <c r="C362" s="399" t="s">
        <v>145</v>
      </c>
      <c r="D362" s="400" t="s">
        <v>271</v>
      </c>
      <c r="E362" s="401">
        <v>44257</v>
      </c>
      <c r="F362" s="402" t="s">
        <v>128</v>
      </c>
      <c r="G362" s="403">
        <v>3.0312499999999999E-2</v>
      </c>
      <c r="H362" s="403">
        <v>3.5000000000000003E-2</v>
      </c>
      <c r="I362" s="403">
        <v>3.1328099999999998E-2</v>
      </c>
      <c r="J362" s="404">
        <v>3.1875000000000001E-2</v>
      </c>
      <c r="K362" s="405">
        <v>1990000</v>
      </c>
      <c r="L362" s="406">
        <v>800000</v>
      </c>
      <c r="M362" s="407">
        <f>IF(L362=0,0,K362/L362)</f>
        <v>2.4874999999999998</v>
      </c>
    </row>
    <row r="363" spans="1:13" s="249" customFormat="1" ht="12.75" customHeight="1" outlineLevel="1" x14ac:dyDescent="0.2">
      <c r="A363" s="409"/>
      <c r="B363" s="409"/>
      <c r="C363" s="409"/>
      <c r="D363" s="410" t="s">
        <v>196</v>
      </c>
      <c r="E363" s="411">
        <v>45061</v>
      </c>
      <c r="F363" s="412">
        <v>6.5000000000000002E-2</v>
      </c>
      <c r="G363" s="413">
        <v>4.4687499999999998E-2</v>
      </c>
      <c r="H363" s="413">
        <v>0.05</v>
      </c>
      <c r="I363" s="413">
        <v>4.5369E-2</v>
      </c>
      <c r="J363" s="414">
        <v>4.5624999999999999E-2</v>
      </c>
      <c r="K363" s="415">
        <v>2137000</v>
      </c>
      <c r="L363" s="416">
        <v>1500000</v>
      </c>
      <c r="M363" s="407">
        <f>IF(L363=0,0,K363/L363)</f>
        <v>1.4246666666666667</v>
      </c>
    </row>
    <row r="364" spans="1:13" s="249" customFormat="1" ht="12.75" customHeight="1" outlineLevel="1" x14ac:dyDescent="0.2">
      <c r="A364" s="409"/>
      <c r="B364" s="409"/>
      <c r="C364" s="409"/>
      <c r="D364" s="410" t="s">
        <v>147</v>
      </c>
      <c r="E364" s="411">
        <v>45580</v>
      </c>
      <c r="F364" s="412">
        <v>6.6250000000000003E-2</v>
      </c>
      <c r="G364" s="413">
        <v>5.1874999999999998E-2</v>
      </c>
      <c r="H364" s="417">
        <v>5.5625000000000001E-2</v>
      </c>
      <c r="I364" s="413">
        <v>5.2278900000000003E-2</v>
      </c>
      <c r="J364" s="414">
        <v>5.2812499999999998E-2</v>
      </c>
      <c r="K364" s="415">
        <v>3418000</v>
      </c>
      <c r="L364" s="416">
        <v>2250000</v>
      </c>
      <c r="M364" s="407">
        <f>IF(L364=0,0,K364/L364)</f>
        <v>1.5191111111111111</v>
      </c>
    </row>
    <row r="365" spans="1:13" s="249" customFormat="1" ht="12.75" customHeight="1" outlineLevel="1" x14ac:dyDescent="0.2">
      <c r="A365" s="409"/>
      <c r="B365" s="409"/>
      <c r="C365" s="409"/>
      <c r="D365" s="410" t="s">
        <v>260</v>
      </c>
      <c r="E365" s="411">
        <v>48714</v>
      </c>
      <c r="F365" s="418">
        <v>8.3750000000000005E-2</v>
      </c>
      <c r="G365" s="413">
        <v>7.0937500000000001E-2</v>
      </c>
      <c r="H365" s="413">
        <v>7.3437500000000003E-2</v>
      </c>
      <c r="I365" s="413">
        <v>7.1249499999999993E-2</v>
      </c>
      <c r="J365" s="419">
        <v>7.1249999999999994E-2</v>
      </c>
      <c r="K365" s="415">
        <v>7319000</v>
      </c>
      <c r="L365" s="416">
        <v>4350000</v>
      </c>
      <c r="M365" s="407">
        <f>IF(L365=0,0,K365/L365)</f>
        <v>1.6825287356321839</v>
      </c>
    </row>
    <row r="366" spans="1:13" s="249" customFormat="1" ht="12.75" customHeight="1" outlineLevel="1" x14ac:dyDescent="0.2">
      <c r="A366" s="420"/>
      <c r="B366" s="420"/>
      <c r="C366" s="420"/>
      <c r="D366" s="421" t="s">
        <v>221</v>
      </c>
      <c r="E366" s="422">
        <v>53615</v>
      </c>
      <c r="F366" s="423">
        <v>7.7499999999999999E-2</v>
      </c>
      <c r="G366" s="424">
        <v>7.5312500000000004E-2</v>
      </c>
      <c r="H366" s="424">
        <v>7.8125E-2</v>
      </c>
      <c r="I366" s="424">
        <v>7.5312500000000004E-2</v>
      </c>
      <c r="J366" s="425">
        <v>7.5312500000000004E-2</v>
      </c>
      <c r="K366" s="426">
        <v>5929600</v>
      </c>
      <c r="L366" s="416">
        <v>600000</v>
      </c>
      <c r="M366" s="407">
        <f>IF(L366=0,0,K366/L366)</f>
        <v>9.8826666666666672</v>
      </c>
    </row>
    <row r="367" spans="1:13" s="249" customFormat="1" ht="12.75" customHeight="1" outlineLevel="1" x14ac:dyDescent="0.2">
      <c r="A367" s="505" t="s">
        <v>121</v>
      </c>
      <c r="B367" s="505"/>
      <c r="C367" s="505"/>
      <c r="D367" s="505"/>
      <c r="E367" s="505"/>
      <c r="F367" s="505"/>
      <c r="G367" s="505"/>
      <c r="H367" s="505"/>
      <c r="I367" s="505"/>
      <c r="J367" s="505"/>
      <c r="K367" s="427">
        <f>SUM(K362:K366)</f>
        <v>20793600</v>
      </c>
      <c r="L367" s="427">
        <f>SUM(L362:L366)</f>
        <v>9500000</v>
      </c>
      <c r="M367" s="407"/>
    </row>
    <row r="368" spans="1:13" s="249" customFormat="1" ht="12.75" customHeight="1" outlineLevel="1" x14ac:dyDescent="0.2">
      <c r="A368" s="307">
        <v>44096</v>
      </c>
      <c r="B368" s="307">
        <v>44098</v>
      </c>
      <c r="C368" s="241" t="s">
        <v>145</v>
      </c>
      <c r="D368" s="308" t="s">
        <v>272</v>
      </c>
      <c r="E368" s="309">
        <v>44188</v>
      </c>
      <c r="F368" s="317" t="s">
        <v>128</v>
      </c>
      <c r="G368" s="320">
        <v>0.03</v>
      </c>
      <c r="H368" s="320">
        <v>3.3000000000000002E-2</v>
      </c>
      <c r="I368" s="274">
        <v>3.03691E-2</v>
      </c>
      <c r="J368" s="274">
        <v>3.0599999999999999E-2</v>
      </c>
      <c r="K368" s="247">
        <v>2270000</v>
      </c>
      <c r="L368" s="247">
        <v>1000000</v>
      </c>
      <c r="M368" s="318">
        <f t="shared" ref="M368:M374" si="46">IF(L368=0,0,K368/L368)</f>
        <v>2.27</v>
      </c>
    </row>
    <row r="369" spans="1:13" s="253" customFormat="1" ht="12.75" customHeight="1" outlineLevel="1" x14ac:dyDescent="0.2">
      <c r="A369" s="250"/>
      <c r="B369" s="250"/>
      <c r="C369" s="428"/>
      <c r="D369" s="308" t="s">
        <v>215</v>
      </c>
      <c r="E369" s="309">
        <v>44378</v>
      </c>
      <c r="F369" s="317" t="s">
        <v>128</v>
      </c>
      <c r="G369" s="245">
        <v>3.2800000000000003E-2</v>
      </c>
      <c r="H369" s="245">
        <v>3.5000000000000003E-2</v>
      </c>
      <c r="I369" s="246">
        <v>3.2994299999999997E-2</v>
      </c>
      <c r="J369" s="246">
        <v>3.3399999999999999E-2</v>
      </c>
      <c r="K369" s="247">
        <v>5900000</v>
      </c>
      <c r="L369" s="247">
        <v>2100000</v>
      </c>
      <c r="M369" s="318">
        <f t="shared" si="46"/>
        <v>2.8095238095238093</v>
      </c>
    </row>
    <row r="370" spans="1:13" s="253" customFormat="1" ht="12.75" customHeight="1" outlineLevel="1" x14ac:dyDescent="0.2">
      <c r="A370" s="250"/>
      <c r="B370" s="250"/>
      <c r="C370" s="428"/>
      <c r="D370" s="308" t="s">
        <v>257</v>
      </c>
      <c r="E370" s="309">
        <v>46127</v>
      </c>
      <c r="F370" s="310">
        <v>5.5E-2</v>
      </c>
      <c r="G370" s="245">
        <v>5.4800000000000001E-2</v>
      </c>
      <c r="H370" s="245">
        <v>5.6500000000000002E-2</v>
      </c>
      <c r="I370" s="246">
        <v>5.5191659999999997E-2</v>
      </c>
      <c r="J370" s="246">
        <v>5.5399999999999998E-2</v>
      </c>
      <c r="K370" s="319">
        <v>4597000</v>
      </c>
      <c r="L370" s="319">
        <v>3200000</v>
      </c>
      <c r="M370" s="318">
        <f t="shared" si="46"/>
        <v>1.4365625</v>
      </c>
    </row>
    <row r="371" spans="1:13" s="253" customFormat="1" ht="12.75" customHeight="1" outlineLevel="1" x14ac:dyDescent="0.2">
      <c r="A371" s="250"/>
      <c r="B371" s="250"/>
      <c r="C371" s="428"/>
      <c r="D371" s="308" t="s">
        <v>258</v>
      </c>
      <c r="E371" s="309">
        <v>47894</v>
      </c>
      <c r="F371" s="310">
        <v>6.5000000000000002E-2</v>
      </c>
      <c r="G371" s="245">
        <v>6.7400000000000002E-2</v>
      </c>
      <c r="H371" s="245">
        <v>6.9099999999999995E-2</v>
      </c>
      <c r="I371" s="246">
        <v>6.7999900000000002E-2</v>
      </c>
      <c r="J371" s="246">
        <v>6.8199999999999997E-2</v>
      </c>
      <c r="K371" s="319">
        <v>12792000</v>
      </c>
      <c r="L371" s="319">
        <v>5950000</v>
      </c>
      <c r="M371" s="318">
        <f t="shared" si="46"/>
        <v>2.1499159663865548</v>
      </c>
    </row>
    <row r="372" spans="1:13" s="253" customFormat="1" ht="12.75" customHeight="1" outlineLevel="1" x14ac:dyDescent="0.2">
      <c r="A372" s="250"/>
      <c r="B372" s="250"/>
      <c r="C372" s="428"/>
      <c r="D372" s="308" t="s">
        <v>136</v>
      </c>
      <c r="E372" s="309">
        <v>49475</v>
      </c>
      <c r="F372" s="310">
        <v>7.4999999999999997E-2</v>
      </c>
      <c r="G372" s="245">
        <v>7.2999999999999995E-2</v>
      </c>
      <c r="H372" s="245">
        <v>7.5499999999999998E-2</v>
      </c>
      <c r="I372" s="246">
        <v>7.3599499999999998E-2</v>
      </c>
      <c r="J372" s="246">
        <v>7.3899999999999993E-2</v>
      </c>
      <c r="K372" s="319">
        <v>10362800</v>
      </c>
      <c r="L372" s="319">
        <v>6650000</v>
      </c>
      <c r="M372" s="318">
        <f t="shared" si="46"/>
        <v>1.5583157894736843</v>
      </c>
    </row>
    <row r="373" spans="1:13" s="253" customFormat="1" ht="12.75" customHeight="1" outlineLevel="1" x14ac:dyDescent="0.2">
      <c r="A373" s="250"/>
      <c r="B373" s="250"/>
      <c r="C373" s="428"/>
      <c r="D373" s="308" t="s">
        <v>144</v>
      </c>
      <c r="E373" s="309">
        <v>51241</v>
      </c>
      <c r="F373" s="310">
        <v>7.4999999999999997E-2</v>
      </c>
      <c r="G373" s="245">
        <v>7.3899999999999993E-2</v>
      </c>
      <c r="H373" s="245">
        <v>7.5399999999999995E-2</v>
      </c>
      <c r="I373" s="246">
        <v>7.4099600000000002E-2</v>
      </c>
      <c r="J373" s="246">
        <v>7.4200000000000002E-2</v>
      </c>
      <c r="K373" s="319">
        <v>6278100</v>
      </c>
      <c r="L373" s="319">
        <v>2600000</v>
      </c>
      <c r="M373" s="318">
        <f t="shared" si="46"/>
        <v>2.414653846153846</v>
      </c>
    </row>
    <row r="374" spans="1:13" s="249" customFormat="1" ht="12.75" customHeight="1" outlineLevel="1" x14ac:dyDescent="0.2">
      <c r="A374" s="250"/>
      <c r="B374" s="250"/>
      <c r="C374" s="250"/>
      <c r="D374" s="311" t="s">
        <v>134</v>
      </c>
      <c r="E374" s="307">
        <v>54193</v>
      </c>
      <c r="F374" s="310">
        <v>7.3749999999999996E-2</v>
      </c>
      <c r="G374" s="312">
        <v>7.3899999999999993E-2</v>
      </c>
      <c r="H374" s="310">
        <v>7.5200000000000003E-2</v>
      </c>
      <c r="I374" s="246">
        <v>7.4199000000000001E-2</v>
      </c>
      <c r="J374" s="246">
        <v>7.4300000000000005E-2</v>
      </c>
      <c r="K374" s="319">
        <v>3919600</v>
      </c>
      <c r="L374" s="319">
        <v>500000</v>
      </c>
      <c r="M374" s="318">
        <f t="shared" si="46"/>
        <v>7.8391999999999999</v>
      </c>
    </row>
    <row r="375" spans="1:13" s="249" customFormat="1" ht="12.75" customHeight="1" outlineLevel="1" x14ac:dyDescent="0.2">
      <c r="A375" s="474" t="s">
        <v>121</v>
      </c>
      <c r="B375" s="475"/>
      <c r="C375" s="475"/>
      <c r="D375" s="475"/>
      <c r="E375" s="475"/>
      <c r="F375" s="475"/>
      <c r="G375" s="475"/>
      <c r="H375" s="475"/>
      <c r="I375" s="475"/>
      <c r="J375" s="476"/>
      <c r="K375" s="396">
        <f>SUM(K368:K374)</f>
        <v>46119500</v>
      </c>
      <c r="L375" s="396">
        <f>SUM(L368:L374)</f>
        <v>22000000</v>
      </c>
      <c r="M375" s="396"/>
    </row>
    <row r="376" spans="1:13" s="253" customFormat="1" ht="17.25" customHeight="1" outlineLevel="1" x14ac:dyDescent="0.2">
      <c r="A376" s="307">
        <v>44098</v>
      </c>
      <c r="B376" s="307">
        <v>44102</v>
      </c>
      <c r="C376" s="241" t="s">
        <v>170</v>
      </c>
      <c r="D376" s="265" t="s">
        <v>276</v>
      </c>
      <c r="E376" s="266">
        <v>45928</v>
      </c>
      <c r="F376" s="503" t="s">
        <v>280</v>
      </c>
      <c r="G376" s="268" t="s">
        <v>130</v>
      </c>
      <c r="H376" s="268" t="s">
        <v>130</v>
      </c>
      <c r="I376" s="269">
        <v>1</v>
      </c>
      <c r="J376" s="268" t="s">
        <v>130</v>
      </c>
      <c r="K376" s="270">
        <v>21100000</v>
      </c>
      <c r="L376" s="270">
        <v>21100000</v>
      </c>
      <c r="M376" s="318">
        <f t="shared" ref="M376:M379" si="47">IF(L376=0,0,K376/L376)</f>
        <v>1</v>
      </c>
    </row>
    <row r="377" spans="1:13" s="253" customFormat="1" ht="16.5" customHeight="1" outlineLevel="1" x14ac:dyDescent="0.2">
      <c r="A377" s="250"/>
      <c r="B377" s="250"/>
      <c r="C377" s="429"/>
      <c r="D377" s="265" t="s">
        <v>277</v>
      </c>
      <c r="E377" s="266">
        <v>46293</v>
      </c>
      <c r="F377" s="503"/>
      <c r="G377" s="268" t="s">
        <v>130</v>
      </c>
      <c r="H377" s="268" t="s">
        <v>130</v>
      </c>
      <c r="I377" s="269">
        <v>1</v>
      </c>
      <c r="J377" s="268" t="s">
        <v>130</v>
      </c>
      <c r="K377" s="270">
        <v>21100000</v>
      </c>
      <c r="L377" s="270">
        <v>21100000</v>
      </c>
      <c r="M377" s="318">
        <f t="shared" si="47"/>
        <v>1</v>
      </c>
    </row>
    <row r="378" spans="1:13" s="272" customFormat="1" ht="17.25" customHeight="1" outlineLevel="1" x14ac:dyDescent="0.2">
      <c r="A378" s="263"/>
      <c r="B378" s="263"/>
      <c r="C378" s="264"/>
      <c r="D378" s="265" t="s">
        <v>278</v>
      </c>
      <c r="E378" s="266">
        <v>46658</v>
      </c>
      <c r="F378" s="503"/>
      <c r="G378" s="268" t="s">
        <v>130</v>
      </c>
      <c r="H378" s="268" t="s">
        <v>130</v>
      </c>
      <c r="I378" s="269">
        <v>1</v>
      </c>
      <c r="J378" s="268" t="s">
        <v>130</v>
      </c>
      <c r="K378" s="270">
        <v>21100000</v>
      </c>
      <c r="L378" s="270">
        <v>21100000</v>
      </c>
      <c r="M378" s="271">
        <f t="shared" si="47"/>
        <v>1</v>
      </c>
    </row>
    <row r="379" spans="1:13" s="272" customFormat="1" ht="15" customHeight="1" outlineLevel="1" x14ac:dyDescent="0.2">
      <c r="A379" s="263"/>
      <c r="B379" s="263"/>
      <c r="C379" s="264"/>
      <c r="D379" s="265" t="s">
        <v>279</v>
      </c>
      <c r="E379" s="266">
        <v>47024</v>
      </c>
      <c r="F379" s="503"/>
      <c r="G379" s="268" t="s">
        <v>130</v>
      </c>
      <c r="H379" s="268" t="s">
        <v>130</v>
      </c>
      <c r="I379" s="269">
        <v>1</v>
      </c>
      <c r="J379" s="268" t="s">
        <v>130</v>
      </c>
      <c r="K379" s="270">
        <v>21100000</v>
      </c>
      <c r="L379" s="270">
        <v>21100000</v>
      </c>
      <c r="M379" s="271">
        <f t="shared" si="47"/>
        <v>1</v>
      </c>
    </row>
    <row r="380" spans="1:13" s="249" customFormat="1" ht="12.75" customHeight="1" outlineLevel="1" x14ac:dyDescent="0.2">
      <c r="A380" s="474" t="s">
        <v>121</v>
      </c>
      <c r="B380" s="475"/>
      <c r="C380" s="475"/>
      <c r="D380" s="475"/>
      <c r="E380" s="475"/>
      <c r="F380" s="475"/>
      <c r="G380" s="475"/>
      <c r="H380" s="475"/>
      <c r="I380" s="475"/>
      <c r="J380" s="476"/>
      <c r="K380" s="396">
        <f>SUM(K376:K379)</f>
        <v>84400000</v>
      </c>
      <c r="L380" s="396">
        <f>SUM(L376:L379)</f>
        <v>84400000</v>
      </c>
      <c r="M380" s="396"/>
    </row>
    <row r="381" spans="1:13" s="71" customFormat="1" ht="12.75" customHeight="1" outlineLevel="1" x14ac:dyDescent="0.2">
      <c r="A381" s="230">
        <v>44102</v>
      </c>
      <c r="B381" s="230">
        <v>44104</v>
      </c>
      <c r="C381" s="236" t="s">
        <v>149</v>
      </c>
      <c r="D381" s="237" t="s">
        <v>273</v>
      </c>
      <c r="E381" s="230">
        <v>45179</v>
      </c>
      <c r="F381" s="233">
        <v>6.0499999999999998E-2</v>
      </c>
      <c r="G381" s="233"/>
      <c r="H381" s="233"/>
      <c r="I381" s="238"/>
      <c r="J381" s="238"/>
      <c r="K381" s="203">
        <v>25665971</v>
      </c>
      <c r="L381" s="203">
        <v>25665971</v>
      </c>
      <c r="M381" s="204">
        <f>IF(L381=0,0,K381/L381)</f>
        <v>1</v>
      </c>
    </row>
    <row r="382" spans="1:13" s="249" customFormat="1" ht="12.75" customHeight="1" outlineLevel="1" x14ac:dyDescent="0.2">
      <c r="A382" s="474" t="s">
        <v>121</v>
      </c>
      <c r="B382" s="475"/>
      <c r="C382" s="475"/>
      <c r="D382" s="475"/>
      <c r="E382" s="475"/>
      <c r="F382" s="475"/>
      <c r="G382" s="475"/>
      <c r="H382" s="475"/>
      <c r="I382" s="475"/>
      <c r="J382" s="476"/>
      <c r="K382" s="220">
        <v>25665971</v>
      </c>
      <c r="L382" s="220">
        <v>25665971</v>
      </c>
      <c r="M382" s="396"/>
    </row>
    <row r="383" spans="1:13" s="180" customFormat="1" ht="12.75" customHeight="1" x14ac:dyDescent="0.2">
      <c r="A383" s="489" t="s">
        <v>267</v>
      </c>
      <c r="B383" s="489"/>
      <c r="C383" s="489"/>
      <c r="D383" s="489"/>
      <c r="E383" s="489"/>
      <c r="F383" s="489"/>
      <c r="G383" s="489"/>
      <c r="H383" s="489"/>
      <c r="I383" s="489"/>
      <c r="J383" s="489"/>
      <c r="K383" s="315">
        <f>SUM(K353,K361,K367,K375,K380,K382)</f>
        <v>267567571</v>
      </c>
      <c r="L383" s="315">
        <f>SUM(L353,L361,L367,L375,L380,L382)</f>
        <v>173065971</v>
      </c>
      <c r="M383" s="181"/>
    </row>
    <row r="384" spans="1:13" s="180" customFormat="1" ht="12.75" customHeight="1" x14ac:dyDescent="0.2">
      <c r="A384" s="468" t="s">
        <v>274</v>
      </c>
      <c r="B384" s="469"/>
      <c r="C384" s="469"/>
      <c r="D384" s="469"/>
      <c r="E384" s="469"/>
      <c r="F384" s="469"/>
      <c r="G384" s="469"/>
      <c r="H384" s="469"/>
      <c r="I384" s="469"/>
      <c r="J384" s="470"/>
      <c r="K384" s="315">
        <f>SUM(K347,K383)</f>
        <v>2697608574</v>
      </c>
      <c r="L384" s="315">
        <f>SUM(L347,L383)</f>
        <v>1089206374</v>
      </c>
      <c r="M384" s="181"/>
    </row>
    <row r="385" spans="1:13" s="249" customFormat="1" ht="12.75" customHeight="1" outlineLevel="1" x14ac:dyDescent="0.2">
      <c r="A385" s="398">
        <v>44103</v>
      </c>
      <c r="B385" s="398">
        <v>44105</v>
      </c>
      <c r="C385" s="399" t="s">
        <v>145</v>
      </c>
      <c r="D385" s="400" t="s">
        <v>271</v>
      </c>
      <c r="E385" s="401">
        <v>44257</v>
      </c>
      <c r="F385" s="402" t="s">
        <v>128</v>
      </c>
      <c r="G385" s="403">
        <v>3.09375E-2</v>
      </c>
      <c r="H385" s="403">
        <v>4.4999999999999998E-2</v>
      </c>
      <c r="I385" s="403">
        <v>3.1175000000000001E-2</v>
      </c>
      <c r="J385" s="404">
        <v>3.15625E-2</v>
      </c>
      <c r="K385" s="405">
        <v>1321000</v>
      </c>
      <c r="L385" s="406">
        <v>700000</v>
      </c>
      <c r="M385" s="407">
        <f>IF(L385=0,0,K385/L385)</f>
        <v>1.8871428571428572</v>
      </c>
    </row>
    <row r="386" spans="1:13" s="249" customFormat="1" ht="12.75" customHeight="1" outlineLevel="1" x14ac:dyDescent="0.2">
      <c r="A386" s="409"/>
      <c r="B386" s="409"/>
      <c r="C386" s="409"/>
      <c r="D386" s="410" t="s">
        <v>196</v>
      </c>
      <c r="E386" s="411">
        <v>45061</v>
      </c>
      <c r="F386" s="412">
        <v>6.5000000000000002E-2</v>
      </c>
      <c r="G386" s="413">
        <v>4.5312499999999999E-2</v>
      </c>
      <c r="H386" s="413">
        <v>0.05</v>
      </c>
      <c r="I386" s="413">
        <v>4.5645900000000003E-2</v>
      </c>
      <c r="J386" s="414">
        <v>4.5937499999999999E-2</v>
      </c>
      <c r="K386" s="415">
        <v>2177000</v>
      </c>
      <c r="L386" s="416">
        <v>1200000</v>
      </c>
      <c r="M386" s="407">
        <f>IF(L386=0,0,K386/L386)</f>
        <v>1.8141666666666667</v>
      </c>
    </row>
    <row r="387" spans="1:13" s="249" customFormat="1" ht="12.75" customHeight="1" outlineLevel="1" x14ac:dyDescent="0.2">
      <c r="A387" s="409"/>
      <c r="B387" s="409"/>
      <c r="C387" s="409"/>
      <c r="D387" s="410" t="s">
        <v>147</v>
      </c>
      <c r="E387" s="411">
        <v>45580</v>
      </c>
      <c r="F387" s="412">
        <v>6.6250000000000003E-2</v>
      </c>
      <c r="G387" s="413">
        <v>5.1874999999999998E-2</v>
      </c>
      <c r="H387" s="417">
        <v>5.7500000000000002E-2</v>
      </c>
      <c r="I387" s="413">
        <v>5.2992499999999998E-2</v>
      </c>
      <c r="J387" s="414">
        <v>5.3124999999999999E-2</v>
      </c>
      <c r="K387" s="415">
        <v>2990000</v>
      </c>
      <c r="L387" s="416">
        <v>1600000</v>
      </c>
      <c r="M387" s="407">
        <f>IF(L387=0,0,K387/L387)</f>
        <v>1.8687499999999999</v>
      </c>
    </row>
    <row r="388" spans="1:13" s="249" customFormat="1" ht="12.75" customHeight="1" outlineLevel="1" x14ac:dyDescent="0.2">
      <c r="A388" s="409"/>
      <c r="B388" s="409"/>
      <c r="C388" s="409"/>
      <c r="D388" s="431" t="s">
        <v>50</v>
      </c>
      <c r="E388" s="411">
        <v>46402</v>
      </c>
      <c r="F388" s="412">
        <v>0.06</v>
      </c>
      <c r="G388" s="413">
        <v>6.3125000000000001E-2</v>
      </c>
      <c r="H388" s="417">
        <v>6.5937499999999996E-2</v>
      </c>
      <c r="I388" s="432" t="s">
        <v>130</v>
      </c>
      <c r="J388" s="433" t="s">
        <v>130</v>
      </c>
      <c r="K388" s="415">
        <v>210000</v>
      </c>
      <c r="L388" s="395" t="s">
        <v>130</v>
      </c>
      <c r="M388" s="407"/>
    </row>
    <row r="389" spans="1:13" s="249" customFormat="1" ht="12.75" customHeight="1" outlineLevel="1" x14ac:dyDescent="0.2">
      <c r="A389" s="409"/>
      <c r="B389" s="409"/>
      <c r="C389" s="409"/>
      <c r="D389" s="410" t="s">
        <v>260</v>
      </c>
      <c r="E389" s="411">
        <v>48714</v>
      </c>
      <c r="F389" s="418">
        <v>8.3750000000000005E-2</v>
      </c>
      <c r="G389" s="413">
        <v>7.1249999999999994E-2</v>
      </c>
      <c r="H389" s="413">
        <v>7.3124999999999996E-2</v>
      </c>
      <c r="I389" s="413">
        <v>7.1562500000000001E-2</v>
      </c>
      <c r="J389" s="419">
        <v>7.1562500000000001E-2</v>
      </c>
      <c r="K389" s="415">
        <v>6719000</v>
      </c>
      <c r="L389" s="416">
        <v>900000</v>
      </c>
      <c r="M389" s="407">
        <f>IF(L389=0,0,K389/L389)</f>
        <v>7.4655555555555555</v>
      </c>
    </row>
    <row r="390" spans="1:13" s="249" customFormat="1" ht="12.75" customHeight="1" outlineLevel="1" x14ac:dyDescent="0.2">
      <c r="A390" s="420"/>
      <c r="B390" s="420"/>
      <c r="C390" s="420"/>
      <c r="D390" s="421" t="s">
        <v>221</v>
      </c>
      <c r="E390" s="422">
        <v>53615</v>
      </c>
      <c r="F390" s="423">
        <v>7.7499999999999999E-2</v>
      </c>
      <c r="G390" s="424">
        <v>7.4687500000000004E-2</v>
      </c>
      <c r="H390" s="424">
        <v>7.6874999999999999E-2</v>
      </c>
      <c r="I390" s="424">
        <v>7.5312500000000004E-2</v>
      </c>
      <c r="J390" s="425">
        <v>7.5312500000000004E-2</v>
      </c>
      <c r="K390" s="426">
        <v>6448600</v>
      </c>
      <c r="L390" s="416">
        <v>2000000</v>
      </c>
      <c r="M390" s="407">
        <f>IF(L390=0,0,K390/L390)</f>
        <v>3.2242999999999999</v>
      </c>
    </row>
    <row r="391" spans="1:13" x14ac:dyDescent="0.2">
      <c r="A391" s="471" t="s">
        <v>121</v>
      </c>
      <c r="B391" s="472"/>
      <c r="C391" s="472"/>
      <c r="D391" s="472"/>
      <c r="E391" s="472"/>
      <c r="F391" s="472"/>
      <c r="G391" s="472"/>
      <c r="H391" s="472"/>
      <c r="I391" s="472"/>
      <c r="J391" s="473"/>
      <c r="K391" s="434">
        <f>SUM(K385:K390)</f>
        <v>19865600</v>
      </c>
      <c r="L391" s="439">
        <f>SUM(L385:L390)</f>
        <v>6400000</v>
      </c>
      <c r="M391" s="430"/>
    </row>
    <row r="392" spans="1:13" s="249" customFormat="1" ht="12.75" customHeight="1" outlineLevel="1" x14ac:dyDescent="0.2">
      <c r="A392" s="398">
        <v>44104</v>
      </c>
      <c r="B392" s="398">
        <v>44105</v>
      </c>
      <c r="C392" s="435" t="s">
        <v>275</v>
      </c>
      <c r="D392" s="410" t="s">
        <v>196</v>
      </c>
      <c r="E392" s="411">
        <v>45061</v>
      </c>
      <c r="F392" s="412">
        <v>6.5000000000000002E-2</v>
      </c>
      <c r="G392" s="432" t="s">
        <v>130</v>
      </c>
      <c r="H392" s="432" t="s">
        <v>130</v>
      </c>
      <c r="I392" s="413">
        <v>4.5645900000000003E-2</v>
      </c>
      <c r="J392" s="433" t="s">
        <v>130</v>
      </c>
      <c r="K392" s="415">
        <v>100000</v>
      </c>
      <c r="L392" s="416">
        <v>100000</v>
      </c>
      <c r="M392" s="407">
        <f>IF(L392=0,0,K392/L392)</f>
        <v>1</v>
      </c>
    </row>
    <row r="393" spans="1:13" s="249" customFormat="1" ht="12.75" customHeight="1" outlineLevel="1" x14ac:dyDescent="0.2">
      <c r="A393" s="409"/>
      <c r="B393" s="409"/>
      <c r="C393" s="409"/>
      <c r="D393" s="410" t="s">
        <v>147</v>
      </c>
      <c r="E393" s="411">
        <v>45580</v>
      </c>
      <c r="F393" s="412">
        <v>6.6250000000000003E-2</v>
      </c>
      <c r="G393" s="432" t="s">
        <v>130</v>
      </c>
      <c r="H393" s="436" t="s">
        <v>130</v>
      </c>
      <c r="I393" s="432" t="s">
        <v>130</v>
      </c>
      <c r="J393" s="433" t="s">
        <v>130</v>
      </c>
      <c r="K393" s="437" t="s">
        <v>130</v>
      </c>
      <c r="L393" s="395" t="s">
        <v>130</v>
      </c>
      <c r="M393" s="438" t="s">
        <v>130</v>
      </c>
    </row>
    <row r="394" spans="1:13" s="249" customFormat="1" ht="12.75" customHeight="1" outlineLevel="1" x14ac:dyDescent="0.2">
      <c r="A394" s="409"/>
      <c r="B394" s="409"/>
      <c r="C394" s="409"/>
      <c r="D394" s="410" t="s">
        <v>260</v>
      </c>
      <c r="E394" s="411">
        <v>48714</v>
      </c>
      <c r="F394" s="418">
        <v>8.3750000000000005E-2</v>
      </c>
      <c r="G394" s="432" t="s">
        <v>130</v>
      </c>
      <c r="H394" s="432" t="s">
        <v>130</v>
      </c>
      <c r="I394" s="413">
        <v>7.1297100000000002E-2</v>
      </c>
      <c r="J394" s="394" t="s">
        <v>130</v>
      </c>
      <c r="K394" s="415">
        <v>2560000</v>
      </c>
      <c r="L394" s="416">
        <v>1885000</v>
      </c>
      <c r="M394" s="407">
        <f>IF(L394=0,0,K394/L394)</f>
        <v>1.3580901856763925</v>
      </c>
    </row>
    <row r="395" spans="1:13" s="249" customFormat="1" ht="12.75" customHeight="1" outlineLevel="1" x14ac:dyDescent="0.2">
      <c r="A395" s="409"/>
      <c r="B395" s="409"/>
      <c r="C395" s="409"/>
      <c r="D395" s="421" t="s">
        <v>221</v>
      </c>
      <c r="E395" s="422">
        <v>53615</v>
      </c>
      <c r="F395" s="423">
        <v>7.7499999999999999E-2</v>
      </c>
      <c r="G395" s="388" t="s">
        <v>130</v>
      </c>
      <c r="H395" s="388" t="s">
        <v>130</v>
      </c>
      <c r="I395" s="424">
        <v>7.4992799999999998E-2</v>
      </c>
      <c r="J395" s="392" t="s">
        <v>130</v>
      </c>
      <c r="K395" s="426">
        <v>3615000</v>
      </c>
      <c r="L395" s="416">
        <v>3615000</v>
      </c>
      <c r="M395" s="407">
        <f>IF(L395=0,0,K395/L395)</f>
        <v>1</v>
      </c>
    </row>
    <row r="396" spans="1:13" s="180" customFormat="1" x14ac:dyDescent="0.2">
      <c r="A396" s="471" t="s">
        <v>121</v>
      </c>
      <c r="B396" s="472"/>
      <c r="C396" s="472"/>
      <c r="D396" s="472"/>
      <c r="E396" s="472"/>
      <c r="F396" s="472"/>
      <c r="G396" s="472"/>
      <c r="H396" s="472"/>
      <c r="I396" s="472"/>
      <c r="J396" s="473"/>
      <c r="K396" s="434">
        <f>SUM(K392:K395)</f>
        <v>6275000</v>
      </c>
      <c r="L396" s="439">
        <f>SUM(L392:L395)</f>
        <v>5600000</v>
      </c>
      <c r="M396" s="430"/>
    </row>
    <row r="397" spans="1:13" s="249" customFormat="1" ht="12.75" customHeight="1" outlineLevel="1" x14ac:dyDescent="0.2">
      <c r="A397" s="307">
        <v>44110</v>
      </c>
      <c r="B397" s="307">
        <v>44112</v>
      </c>
      <c r="C397" s="241" t="s">
        <v>145</v>
      </c>
      <c r="D397" s="308" t="s">
        <v>143</v>
      </c>
      <c r="E397" s="309">
        <v>44204</v>
      </c>
      <c r="F397" s="317" t="s">
        <v>128</v>
      </c>
      <c r="G397" s="320">
        <v>0.03</v>
      </c>
      <c r="H397" s="320">
        <v>3.15E-2</v>
      </c>
      <c r="I397" s="274">
        <v>3.0146200000000001E-2</v>
      </c>
      <c r="J397" s="274">
        <v>3.0300000000000001E-2</v>
      </c>
      <c r="K397" s="247">
        <v>2670000</v>
      </c>
      <c r="L397" s="247">
        <v>2050000</v>
      </c>
      <c r="M397" s="318">
        <f t="shared" ref="M397:M403" si="48">IF(L397=0,0,K397/L397)</f>
        <v>1.3024390243902439</v>
      </c>
    </row>
    <row r="398" spans="1:13" s="253" customFormat="1" ht="12.75" customHeight="1" outlineLevel="1" x14ac:dyDescent="0.2">
      <c r="A398" s="250"/>
      <c r="B398" s="250"/>
      <c r="C398" s="429"/>
      <c r="D398" s="308" t="s">
        <v>281</v>
      </c>
      <c r="E398" s="309">
        <v>44476</v>
      </c>
      <c r="F398" s="317" t="s">
        <v>128</v>
      </c>
      <c r="G398" s="245">
        <v>3.2099999999999997E-2</v>
      </c>
      <c r="H398" s="245">
        <v>3.4500000000000003E-2</v>
      </c>
      <c r="I398" s="246">
        <v>3.3000000000000002E-2</v>
      </c>
      <c r="J398" s="246">
        <v>3.3500000000000002E-2</v>
      </c>
      <c r="K398" s="247">
        <v>5700000</v>
      </c>
      <c r="L398" s="247">
        <v>2900000</v>
      </c>
      <c r="M398" s="318">
        <f t="shared" si="48"/>
        <v>1.9655172413793103</v>
      </c>
    </row>
    <row r="399" spans="1:13" s="253" customFormat="1" ht="12.75" customHeight="1" outlineLevel="1" x14ac:dyDescent="0.2">
      <c r="A399" s="250"/>
      <c r="B399" s="250"/>
      <c r="C399" s="429"/>
      <c r="D399" s="308" t="s">
        <v>257</v>
      </c>
      <c r="E399" s="309">
        <v>46127</v>
      </c>
      <c r="F399" s="310">
        <v>5.5E-2</v>
      </c>
      <c r="G399" s="245">
        <v>5.6399999999999999E-2</v>
      </c>
      <c r="H399" s="245">
        <v>5.8999999999999997E-2</v>
      </c>
      <c r="I399" s="246">
        <v>5.6693E-2</v>
      </c>
      <c r="J399" s="246">
        <v>5.6899999999999999E-2</v>
      </c>
      <c r="K399" s="319">
        <v>4149000</v>
      </c>
      <c r="L399" s="319">
        <v>2200000</v>
      </c>
      <c r="M399" s="318">
        <f t="shared" si="48"/>
        <v>1.885909090909091</v>
      </c>
    </row>
    <row r="400" spans="1:13" s="253" customFormat="1" ht="12.75" customHeight="1" outlineLevel="1" x14ac:dyDescent="0.2">
      <c r="A400" s="250"/>
      <c r="B400" s="250"/>
      <c r="C400" s="429"/>
      <c r="D400" s="308" t="s">
        <v>258</v>
      </c>
      <c r="E400" s="309">
        <v>47894</v>
      </c>
      <c r="F400" s="310">
        <v>6.5000000000000002E-2</v>
      </c>
      <c r="G400" s="245">
        <v>6.7900000000000002E-2</v>
      </c>
      <c r="H400" s="245">
        <v>6.9500000000000006E-2</v>
      </c>
      <c r="I400" s="246">
        <v>6.8199700000000002E-2</v>
      </c>
      <c r="J400" s="246">
        <v>6.8400000000000002E-2</v>
      </c>
      <c r="K400" s="319">
        <v>15436200</v>
      </c>
      <c r="L400" s="319">
        <v>10100000</v>
      </c>
      <c r="M400" s="318">
        <f t="shared" si="48"/>
        <v>1.5283366336633664</v>
      </c>
    </row>
    <row r="401" spans="1:13" s="253" customFormat="1" ht="12.75" customHeight="1" outlineLevel="1" x14ac:dyDescent="0.2">
      <c r="A401" s="250"/>
      <c r="B401" s="250"/>
      <c r="C401" s="429"/>
      <c r="D401" s="308" t="s">
        <v>136</v>
      </c>
      <c r="E401" s="309">
        <v>49475</v>
      </c>
      <c r="F401" s="310">
        <v>7.4999999999999997E-2</v>
      </c>
      <c r="G401" s="245">
        <v>7.3400000000000007E-2</v>
      </c>
      <c r="H401" s="245">
        <v>7.5499999999999998E-2</v>
      </c>
      <c r="I401" s="246">
        <v>7.3899900000000004E-2</v>
      </c>
      <c r="J401" s="246">
        <v>7.3999999999999996E-2</v>
      </c>
      <c r="K401" s="319">
        <v>10346300</v>
      </c>
      <c r="L401" s="319">
        <v>5300000</v>
      </c>
      <c r="M401" s="318">
        <f t="shared" si="48"/>
        <v>1.9521320754716982</v>
      </c>
    </row>
    <row r="402" spans="1:13" s="253" customFormat="1" ht="12.75" customHeight="1" outlineLevel="1" x14ac:dyDescent="0.2">
      <c r="A402" s="250"/>
      <c r="B402" s="250"/>
      <c r="C402" s="429"/>
      <c r="D402" s="308" t="s">
        <v>144</v>
      </c>
      <c r="E402" s="309">
        <v>51241</v>
      </c>
      <c r="F402" s="310">
        <v>7.4999999999999997E-2</v>
      </c>
      <c r="G402" s="245">
        <v>3.7999999999999999E-2</v>
      </c>
      <c r="H402" s="245">
        <v>7.5399999999999995E-2</v>
      </c>
      <c r="I402" s="246">
        <v>7.3977200000000007E-2</v>
      </c>
      <c r="J402" s="246">
        <v>7.4200000000000002E-2</v>
      </c>
      <c r="K402" s="319">
        <v>6270600</v>
      </c>
      <c r="L402" s="319">
        <v>2300000</v>
      </c>
      <c r="M402" s="318">
        <f t="shared" si="48"/>
        <v>2.7263478260869567</v>
      </c>
    </row>
    <row r="403" spans="1:13" s="249" customFormat="1" ht="12.75" customHeight="1" outlineLevel="1" x14ac:dyDescent="0.2">
      <c r="A403" s="250"/>
      <c r="B403" s="250"/>
      <c r="C403" s="250"/>
      <c r="D403" s="311" t="s">
        <v>134</v>
      </c>
      <c r="E403" s="307">
        <v>54193</v>
      </c>
      <c r="F403" s="310">
        <v>7.3749999999999996E-2</v>
      </c>
      <c r="G403" s="312">
        <v>7.4099999999999999E-2</v>
      </c>
      <c r="H403" s="310">
        <v>7.7200000000000005E-2</v>
      </c>
      <c r="I403" s="246">
        <v>7.4191099999999996E-2</v>
      </c>
      <c r="J403" s="246">
        <v>7.4300000000000005E-2</v>
      </c>
      <c r="K403" s="319">
        <v>4902600</v>
      </c>
      <c r="L403" s="319">
        <v>1250000</v>
      </c>
      <c r="M403" s="318">
        <f t="shared" si="48"/>
        <v>3.9220799999999998</v>
      </c>
    </row>
    <row r="404" spans="1:13" s="249" customFormat="1" ht="12.75" customHeight="1" outlineLevel="1" x14ac:dyDescent="0.2">
      <c r="A404" s="474" t="s">
        <v>121</v>
      </c>
      <c r="B404" s="475"/>
      <c r="C404" s="475"/>
      <c r="D404" s="475"/>
      <c r="E404" s="475"/>
      <c r="F404" s="475"/>
      <c r="G404" s="475"/>
      <c r="H404" s="475"/>
      <c r="I404" s="475"/>
      <c r="J404" s="476"/>
      <c r="K404" s="396">
        <f>SUM(K397:K403)</f>
        <v>49474700</v>
      </c>
      <c r="L404" s="396">
        <f>SUM(L397:L403)</f>
        <v>26100000</v>
      </c>
      <c r="M404" s="396"/>
    </row>
    <row r="405" spans="1:13" s="253" customFormat="1" ht="17.25" customHeight="1" outlineLevel="1" x14ac:dyDescent="0.2">
      <c r="A405" s="307">
        <v>44112</v>
      </c>
      <c r="B405" s="307">
        <v>44116</v>
      </c>
      <c r="C405" s="241" t="s">
        <v>170</v>
      </c>
      <c r="D405" s="265" t="s">
        <v>282</v>
      </c>
      <c r="E405" s="266">
        <v>45942</v>
      </c>
      <c r="F405" s="503" t="s">
        <v>286</v>
      </c>
      <c r="G405" s="268" t="s">
        <v>130</v>
      </c>
      <c r="H405" s="268" t="s">
        <v>130</v>
      </c>
      <c r="I405" s="269">
        <v>1</v>
      </c>
      <c r="J405" s="268" t="s">
        <v>130</v>
      </c>
      <c r="K405" s="270">
        <v>11550000</v>
      </c>
      <c r="L405" s="270">
        <v>11550000</v>
      </c>
      <c r="M405" s="318">
        <f t="shared" ref="M405:M414" si="49">IF(L405=0,0,K405/L405)</f>
        <v>1</v>
      </c>
    </row>
    <row r="406" spans="1:13" s="253" customFormat="1" ht="16.5" customHeight="1" outlineLevel="1" x14ac:dyDescent="0.2">
      <c r="A406" s="250"/>
      <c r="B406" s="250"/>
      <c r="C406" s="441"/>
      <c r="D406" s="265" t="s">
        <v>283</v>
      </c>
      <c r="E406" s="266">
        <v>46307</v>
      </c>
      <c r="F406" s="503"/>
      <c r="G406" s="268" t="s">
        <v>130</v>
      </c>
      <c r="H406" s="268" t="s">
        <v>130</v>
      </c>
      <c r="I406" s="269">
        <v>1</v>
      </c>
      <c r="J406" s="268" t="s">
        <v>130</v>
      </c>
      <c r="K406" s="270">
        <v>11550000</v>
      </c>
      <c r="L406" s="270">
        <v>11550000</v>
      </c>
      <c r="M406" s="318">
        <f t="shared" si="49"/>
        <v>1</v>
      </c>
    </row>
    <row r="407" spans="1:13" s="272" customFormat="1" ht="17.25" customHeight="1" outlineLevel="1" x14ac:dyDescent="0.2">
      <c r="A407" s="263"/>
      <c r="B407" s="263"/>
      <c r="C407" s="264"/>
      <c r="D407" s="265" t="s">
        <v>284</v>
      </c>
      <c r="E407" s="266">
        <v>46672</v>
      </c>
      <c r="F407" s="503"/>
      <c r="G407" s="268" t="s">
        <v>130</v>
      </c>
      <c r="H407" s="268" t="s">
        <v>130</v>
      </c>
      <c r="I407" s="269">
        <v>1</v>
      </c>
      <c r="J407" s="268" t="s">
        <v>130</v>
      </c>
      <c r="K407" s="270">
        <v>11550000</v>
      </c>
      <c r="L407" s="270">
        <v>11550000</v>
      </c>
      <c r="M407" s="271">
        <f t="shared" si="49"/>
        <v>1</v>
      </c>
    </row>
    <row r="408" spans="1:13" s="272" customFormat="1" ht="15" customHeight="1" outlineLevel="1" x14ac:dyDescent="0.2">
      <c r="A408" s="263"/>
      <c r="B408" s="263"/>
      <c r="C408" s="264"/>
      <c r="D408" s="265" t="s">
        <v>285</v>
      </c>
      <c r="E408" s="266">
        <v>47038</v>
      </c>
      <c r="F408" s="503"/>
      <c r="G408" s="268" t="s">
        <v>130</v>
      </c>
      <c r="H408" s="268" t="s">
        <v>130</v>
      </c>
      <c r="I408" s="269">
        <v>1</v>
      </c>
      <c r="J408" s="268" t="s">
        <v>130</v>
      </c>
      <c r="K408" s="270">
        <v>11550000</v>
      </c>
      <c r="L408" s="270">
        <v>11550000</v>
      </c>
      <c r="M408" s="271">
        <f t="shared" si="49"/>
        <v>1</v>
      </c>
    </row>
    <row r="409" spans="1:13" s="249" customFormat="1" ht="12.75" customHeight="1" outlineLevel="1" x14ac:dyDescent="0.2">
      <c r="A409" s="474" t="s">
        <v>121</v>
      </c>
      <c r="B409" s="475"/>
      <c r="C409" s="475"/>
      <c r="D409" s="475"/>
      <c r="E409" s="475"/>
      <c r="F409" s="475"/>
      <c r="G409" s="475"/>
      <c r="H409" s="475"/>
      <c r="I409" s="475"/>
      <c r="J409" s="476"/>
      <c r="K409" s="396">
        <f>SUM(K405:K408)</f>
        <v>46200000</v>
      </c>
      <c r="L409" s="396">
        <f>SUM(L405:L408)</f>
        <v>46200000</v>
      </c>
      <c r="M409" s="396"/>
    </row>
    <row r="410" spans="1:13" s="249" customFormat="1" ht="12.75" customHeight="1" outlineLevel="1" x14ac:dyDescent="0.2">
      <c r="A410" s="398">
        <v>44117</v>
      </c>
      <c r="B410" s="398">
        <v>44119</v>
      </c>
      <c r="C410" s="399" t="s">
        <v>145</v>
      </c>
      <c r="D410" s="400" t="s">
        <v>293</v>
      </c>
      <c r="E410" s="401">
        <v>44300</v>
      </c>
      <c r="F410" s="402" t="s">
        <v>128</v>
      </c>
      <c r="G410" s="403">
        <v>3.09375E-2</v>
      </c>
      <c r="H410" s="403">
        <v>4.4999999999999998E-2</v>
      </c>
      <c r="I410" s="403">
        <v>3.1321000000000002E-2</v>
      </c>
      <c r="J410" s="404">
        <v>3.15625E-2</v>
      </c>
      <c r="K410" s="443">
        <v>4921000</v>
      </c>
      <c r="L410" s="405">
        <v>2200000</v>
      </c>
      <c r="M410" s="318">
        <f t="shared" si="49"/>
        <v>2.2368181818181818</v>
      </c>
    </row>
    <row r="411" spans="1:13" s="249" customFormat="1" ht="12.75" customHeight="1" outlineLevel="1" x14ac:dyDescent="0.2">
      <c r="A411" s="409"/>
      <c r="B411" s="409"/>
      <c r="C411" s="409"/>
      <c r="D411" s="410" t="s">
        <v>196</v>
      </c>
      <c r="E411" s="411">
        <v>45061</v>
      </c>
      <c r="F411" s="412">
        <v>6.5000000000000002E-2</v>
      </c>
      <c r="G411" s="413">
        <v>4.5312499999999999E-2</v>
      </c>
      <c r="H411" s="413">
        <v>5.2499999999999998E-2</v>
      </c>
      <c r="I411" s="413">
        <v>4.5640899999999998E-2</v>
      </c>
      <c r="J411" s="414">
        <v>4.5937499999999999E-2</v>
      </c>
      <c r="K411" s="444">
        <v>2733000</v>
      </c>
      <c r="L411" s="415">
        <v>1600000</v>
      </c>
      <c r="M411" s="318">
        <f t="shared" si="49"/>
        <v>1.7081249999999999</v>
      </c>
    </row>
    <row r="412" spans="1:13" s="249" customFormat="1" ht="12.75" customHeight="1" outlineLevel="1" x14ac:dyDescent="0.2">
      <c r="A412" s="409"/>
      <c r="B412" s="409"/>
      <c r="C412" s="409"/>
      <c r="D412" s="410" t="s">
        <v>147</v>
      </c>
      <c r="E412" s="411">
        <v>45580</v>
      </c>
      <c r="F412" s="412">
        <v>6.6250000000000003E-2</v>
      </c>
      <c r="G412" s="413">
        <v>5.2812499999999998E-2</v>
      </c>
      <c r="H412" s="417">
        <v>5.7500000000000002E-2</v>
      </c>
      <c r="I412" s="413">
        <v>5.3424100000000002E-2</v>
      </c>
      <c r="J412" s="414">
        <v>5.4062499999999999E-2</v>
      </c>
      <c r="K412" s="444">
        <v>2915500</v>
      </c>
      <c r="L412" s="415">
        <v>2000000</v>
      </c>
      <c r="M412" s="318">
        <f t="shared" si="49"/>
        <v>1.4577500000000001</v>
      </c>
    </row>
    <row r="413" spans="1:13" s="249" customFormat="1" ht="12.75" customHeight="1" outlineLevel="1" x14ac:dyDescent="0.2">
      <c r="A413" s="409"/>
      <c r="B413" s="409"/>
      <c r="C413" s="409"/>
      <c r="D413" s="410" t="s">
        <v>260</v>
      </c>
      <c r="E413" s="411">
        <v>48714</v>
      </c>
      <c r="F413" s="418">
        <v>8.3750000000000005E-2</v>
      </c>
      <c r="G413" s="413">
        <v>7.0937500000000001E-2</v>
      </c>
      <c r="H413" s="413">
        <v>8.1250000000000003E-2</v>
      </c>
      <c r="I413" s="413">
        <v>7.0937500000000001E-2</v>
      </c>
      <c r="J413" s="419">
        <v>7.0937500000000001E-2</v>
      </c>
      <c r="K413" s="444">
        <v>8128000</v>
      </c>
      <c r="L413" s="415">
        <v>3750000</v>
      </c>
      <c r="M413" s="318">
        <f t="shared" si="49"/>
        <v>2.1674666666666669</v>
      </c>
    </row>
    <row r="414" spans="1:13" s="249" customFormat="1" ht="12.75" customHeight="1" outlineLevel="1" x14ac:dyDescent="0.2">
      <c r="A414" s="420"/>
      <c r="B414" s="420"/>
      <c r="C414" s="420"/>
      <c r="D414" s="421" t="s">
        <v>221</v>
      </c>
      <c r="E414" s="422">
        <v>53615</v>
      </c>
      <c r="F414" s="423">
        <v>7.7499999999999999E-2</v>
      </c>
      <c r="G414" s="424">
        <v>7.4374999999999997E-2</v>
      </c>
      <c r="H414" s="424">
        <v>7.6874999999999999E-2</v>
      </c>
      <c r="I414" s="424">
        <v>7.4767299999999995E-2</v>
      </c>
      <c r="J414" s="425">
        <v>7.4999999999999997E-2</v>
      </c>
      <c r="K414" s="445">
        <v>7157900</v>
      </c>
      <c r="L414" s="426">
        <v>2350000</v>
      </c>
      <c r="M414" s="318">
        <f t="shared" si="49"/>
        <v>3.0459148936170211</v>
      </c>
    </row>
    <row r="415" spans="1:13" s="180" customFormat="1" x14ac:dyDescent="0.2">
      <c r="A415" s="471" t="s">
        <v>121</v>
      </c>
      <c r="B415" s="472"/>
      <c r="C415" s="472"/>
      <c r="D415" s="472"/>
      <c r="E415" s="472"/>
      <c r="F415" s="472"/>
      <c r="G415" s="472"/>
      <c r="H415" s="472"/>
      <c r="I415" s="472"/>
      <c r="J415" s="473"/>
      <c r="K415" s="434">
        <f>SUM(K410:K414)</f>
        <v>25855400</v>
      </c>
      <c r="L415" s="434">
        <f>SUM(L410:L414)</f>
        <v>11900000</v>
      </c>
      <c r="M415" s="430"/>
    </row>
    <row r="416" spans="1:13" s="249" customFormat="1" ht="12.75" customHeight="1" outlineLevel="1" x14ac:dyDescent="0.2">
      <c r="A416" s="307">
        <v>44124</v>
      </c>
      <c r="B416" s="307">
        <v>44126</v>
      </c>
      <c r="C416" s="241" t="s">
        <v>145</v>
      </c>
      <c r="D416" s="308" t="s">
        <v>287</v>
      </c>
      <c r="E416" s="309">
        <v>44217</v>
      </c>
      <c r="F416" s="317" t="s">
        <v>128</v>
      </c>
      <c r="G416" s="320">
        <v>2.9000000000000001E-2</v>
      </c>
      <c r="H416" s="320">
        <v>3.1E-2</v>
      </c>
      <c r="I416" s="274">
        <v>2.98E-2</v>
      </c>
      <c r="J416" s="274">
        <v>0.03</v>
      </c>
      <c r="K416" s="247">
        <v>2740000</v>
      </c>
      <c r="L416" s="247">
        <v>2250000</v>
      </c>
      <c r="M416" s="318">
        <f t="shared" ref="M416:M422" si="50">IF(L416=0,0,K416/L416)</f>
        <v>1.2177777777777778</v>
      </c>
    </row>
    <row r="417" spans="1:13" s="253" customFormat="1" ht="12.75" customHeight="1" outlineLevel="1" x14ac:dyDescent="0.2">
      <c r="A417" s="250"/>
      <c r="B417" s="250"/>
      <c r="C417" s="442"/>
      <c r="D417" s="308" t="s">
        <v>215</v>
      </c>
      <c r="E417" s="309">
        <v>44378</v>
      </c>
      <c r="F417" s="317" t="s">
        <v>128</v>
      </c>
      <c r="G417" s="245">
        <v>3.1800000000000002E-2</v>
      </c>
      <c r="H417" s="245">
        <v>3.3500000000000002E-2</v>
      </c>
      <c r="I417" s="246">
        <v>3.2453299999999997E-2</v>
      </c>
      <c r="J417" s="246">
        <v>3.32E-2</v>
      </c>
      <c r="K417" s="247">
        <v>3410000</v>
      </c>
      <c r="L417" s="247">
        <v>1800000</v>
      </c>
      <c r="M417" s="318">
        <f t="shared" si="50"/>
        <v>1.8944444444444444</v>
      </c>
    </row>
    <row r="418" spans="1:13" s="253" customFormat="1" ht="12.75" customHeight="1" outlineLevel="1" x14ac:dyDescent="0.2">
      <c r="A418" s="250"/>
      <c r="B418" s="250"/>
      <c r="C418" s="442"/>
      <c r="D418" s="308" t="s">
        <v>257</v>
      </c>
      <c r="E418" s="309">
        <v>46127</v>
      </c>
      <c r="F418" s="310">
        <v>5.5E-2</v>
      </c>
      <c r="G418" s="245">
        <v>5.5199999999999999E-2</v>
      </c>
      <c r="H418" s="245">
        <v>5.74E-2</v>
      </c>
      <c r="I418" s="246">
        <v>5.5352100000000001E-2</v>
      </c>
      <c r="J418" s="246">
        <v>5.5399999999999998E-2</v>
      </c>
      <c r="K418" s="319">
        <v>13309000</v>
      </c>
      <c r="L418" s="319">
        <v>6850000</v>
      </c>
      <c r="M418" s="318">
        <f t="shared" si="50"/>
        <v>1.9429197080291971</v>
      </c>
    </row>
    <row r="419" spans="1:13" s="253" customFormat="1" ht="12.75" customHeight="1" outlineLevel="1" x14ac:dyDescent="0.2">
      <c r="A419" s="250"/>
      <c r="B419" s="250"/>
      <c r="C419" s="442"/>
      <c r="D419" s="308" t="s">
        <v>258</v>
      </c>
      <c r="E419" s="309">
        <v>47894</v>
      </c>
      <c r="F419" s="310">
        <v>6.5000000000000002E-2</v>
      </c>
      <c r="G419" s="245">
        <v>6.6500000000000004E-2</v>
      </c>
      <c r="H419" s="245">
        <v>6.83E-2</v>
      </c>
      <c r="I419" s="246">
        <v>6.6913100000000003E-2</v>
      </c>
      <c r="J419" s="246">
        <v>6.7000000000000004E-2</v>
      </c>
      <c r="K419" s="319">
        <v>25314500</v>
      </c>
      <c r="L419" s="319">
        <v>8150000</v>
      </c>
      <c r="M419" s="318">
        <f t="shared" si="50"/>
        <v>3.1060736196319016</v>
      </c>
    </row>
    <row r="420" spans="1:13" s="253" customFormat="1" ht="12.75" customHeight="1" outlineLevel="1" x14ac:dyDescent="0.2">
      <c r="A420" s="250"/>
      <c r="B420" s="250"/>
      <c r="C420" s="442"/>
      <c r="D420" s="308" t="s">
        <v>136</v>
      </c>
      <c r="E420" s="309">
        <v>49475</v>
      </c>
      <c r="F420" s="310">
        <v>7.4999999999999997E-2</v>
      </c>
      <c r="G420" s="245">
        <v>7.22E-2</v>
      </c>
      <c r="H420" s="245">
        <v>7.4800000000000005E-2</v>
      </c>
      <c r="I420" s="246">
        <v>7.2531700000000005E-2</v>
      </c>
      <c r="J420" s="246">
        <v>7.2599999999999998E-2</v>
      </c>
      <c r="K420" s="319">
        <v>21241400</v>
      </c>
      <c r="L420" s="319">
        <v>8350000</v>
      </c>
      <c r="M420" s="318">
        <f t="shared" si="50"/>
        <v>2.5438802395209579</v>
      </c>
    </row>
    <row r="421" spans="1:13" s="253" customFormat="1" ht="12.75" customHeight="1" outlineLevel="1" x14ac:dyDescent="0.2">
      <c r="A421" s="250"/>
      <c r="B421" s="250"/>
      <c r="C421" s="442"/>
      <c r="D421" s="308" t="s">
        <v>144</v>
      </c>
      <c r="E421" s="309">
        <v>51241</v>
      </c>
      <c r="F421" s="310">
        <v>7.4999999999999997E-2</v>
      </c>
      <c r="G421" s="245">
        <v>7.2400000000000006E-2</v>
      </c>
      <c r="H421" s="245">
        <v>7.3700000000000002E-2</v>
      </c>
      <c r="I421" s="246">
        <v>7.2696200000000002E-2</v>
      </c>
      <c r="J421" s="246">
        <v>7.2999999999999995E-2</v>
      </c>
      <c r="K421" s="319">
        <v>9079800</v>
      </c>
      <c r="L421" s="319">
        <v>2850000</v>
      </c>
      <c r="M421" s="318">
        <f t="shared" si="50"/>
        <v>3.1858947368421053</v>
      </c>
    </row>
    <row r="422" spans="1:13" s="249" customFormat="1" ht="12.75" customHeight="1" outlineLevel="1" x14ac:dyDescent="0.2">
      <c r="A422" s="250"/>
      <c r="B422" s="250"/>
      <c r="C422" s="250"/>
      <c r="D422" s="311" t="s">
        <v>134</v>
      </c>
      <c r="E422" s="307">
        <v>54193</v>
      </c>
      <c r="F422" s="310">
        <v>7.3749999999999996E-2</v>
      </c>
      <c r="G422" s="312">
        <v>7.1099999999999997E-2</v>
      </c>
      <c r="H422" s="310">
        <v>7.4499999999999997E-2</v>
      </c>
      <c r="I422" s="246">
        <v>7.3298699999999994E-2</v>
      </c>
      <c r="J422" s="246">
        <v>7.3400000000000007E-2</v>
      </c>
      <c r="K422" s="319">
        <v>7930000</v>
      </c>
      <c r="L422" s="319">
        <v>2500000</v>
      </c>
      <c r="M422" s="318">
        <f t="shared" si="50"/>
        <v>3.1720000000000002</v>
      </c>
    </row>
    <row r="423" spans="1:13" s="249" customFormat="1" ht="12.75" customHeight="1" outlineLevel="1" x14ac:dyDescent="0.2">
      <c r="A423" s="474" t="s">
        <v>121</v>
      </c>
      <c r="B423" s="475"/>
      <c r="C423" s="475"/>
      <c r="D423" s="475"/>
      <c r="E423" s="475"/>
      <c r="F423" s="475"/>
      <c r="G423" s="475"/>
      <c r="H423" s="475"/>
      <c r="I423" s="475"/>
      <c r="J423" s="476"/>
      <c r="K423" s="396">
        <f>SUM(K416:K422)</f>
        <v>83024700</v>
      </c>
      <c r="L423" s="396">
        <f>SUM(L416:L422)</f>
        <v>32750000</v>
      </c>
      <c r="M423" s="396"/>
    </row>
    <row r="424" spans="1:13" s="253" customFormat="1" ht="17.25" customHeight="1" outlineLevel="1" x14ac:dyDescent="0.2">
      <c r="A424" s="307">
        <v>44126</v>
      </c>
      <c r="B424" s="307">
        <v>44130</v>
      </c>
      <c r="C424" s="241" t="s">
        <v>170</v>
      </c>
      <c r="D424" s="265" t="s">
        <v>288</v>
      </c>
      <c r="E424" s="266">
        <v>45956</v>
      </c>
      <c r="F424" s="503" t="s">
        <v>286</v>
      </c>
      <c r="G424" s="268" t="s">
        <v>130</v>
      </c>
      <c r="H424" s="268" t="s">
        <v>130</v>
      </c>
      <c r="I424" s="269">
        <v>1</v>
      </c>
      <c r="J424" s="268" t="s">
        <v>130</v>
      </c>
      <c r="K424" s="270">
        <v>5717500</v>
      </c>
      <c r="L424" s="270">
        <v>5717500</v>
      </c>
      <c r="M424" s="318">
        <f t="shared" ref="M424:M427" si="51">IF(L424=0,0,K424/L424)</f>
        <v>1</v>
      </c>
    </row>
    <row r="425" spans="1:13" s="253" customFormat="1" ht="16.5" customHeight="1" outlineLevel="1" x14ac:dyDescent="0.2">
      <c r="A425" s="250"/>
      <c r="B425" s="250"/>
      <c r="C425" s="442"/>
      <c r="D425" s="265" t="s">
        <v>289</v>
      </c>
      <c r="E425" s="266">
        <v>46321</v>
      </c>
      <c r="F425" s="503"/>
      <c r="G425" s="268" t="s">
        <v>130</v>
      </c>
      <c r="H425" s="268" t="s">
        <v>130</v>
      </c>
      <c r="I425" s="269">
        <v>1</v>
      </c>
      <c r="J425" s="268" t="s">
        <v>130</v>
      </c>
      <c r="K425" s="270">
        <v>5717500</v>
      </c>
      <c r="L425" s="270">
        <v>5717500</v>
      </c>
      <c r="M425" s="318">
        <f t="shared" si="51"/>
        <v>1</v>
      </c>
    </row>
    <row r="426" spans="1:13" s="272" customFormat="1" ht="17.25" customHeight="1" outlineLevel="1" x14ac:dyDescent="0.2">
      <c r="A426" s="263"/>
      <c r="B426" s="263"/>
      <c r="C426" s="264"/>
      <c r="D426" s="265" t="s">
        <v>290</v>
      </c>
      <c r="E426" s="266">
        <v>46686</v>
      </c>
      <c r="F426" s="503"/>
      <c r="G426" s="268" t="s">
        <v>130</v>
      </c>
      <c r="H426" s="268" t="s">
        <v>130</v>
      </c>
      <c r="I426" s="269">
        <v>1</v>
      </c>
      <c r="J426" s="268" t="s">
        <v>130</v>
      </c>
      <c r="K426" s="270">
        <v>5717500</v>
      </c>
      <c r="L426" s="270">
        <v>5717500</v>
      </c>
      <c r="M426" s="271">
        <f t="shared" si="51"/>
        <v>1</v>
      </c>
    </row>
    <row r="427" spans="1:13" s="272" customFormat="1" ht="15" customHeight="1" outlineLevel="1" x14ac:dyDescent="0.2">
      <c r="A427" s="263"/>
      <c r="B427" s="263"/>
      <c r="C427" s="264"/>
      <c r="D427" s="265" t="s">
        <v>291</v>
      </c>
      <c r="E427" s="266">
        <v>47052</v>
      </c>
      <c r="F427" s="503"/>
      <c r="G427" s="268" t="s">
        <v>130</v>
      </c>
      <c r="H427" s="268" t="s">
        <v>130</v>
      </c>
      <c r="I427" s="269">
        <v>1</v>
      </c>
      <c r="J427" s="268" t="s">
        <v>130</v>
      </c>
      <c r="K427" s="270">
        <v>5717500</v>
      </c>
      <c r="L427" s="270">
        <v>5717500</v>
      </c>
      <c r="M427" s="271">
        <f t="shared" si="51"/>
        <v>1</v>
      </c>
    </row>
    <row r="428" spans="1:13" s="249" customFormat="1" ht="12.75" customHeight="1" outlineLevel="1" x14ac:dyDescent="0.2">
      <c r="A428" s="474" t="s">
        <v>121</v>
      </c>
      <c r="B428" s="475"/>
      <c r="C428" s="475"/>
      <c r="D428" s="475"/>
      <c r="E428" s="475"/>
      <c r="F428" s="475"/>
      <c r="G428" s="475"/>
      <c r="H428" s="475"/>
      <c r="I428" s="475"/>
      <c r="J428" s="476"/>
      <c r="K428" s="396">
        <f>SUM(K424:K427)</f>
        <v>22870000</v>
      </c>
      <c r="L428" s="396">
        <f>SUM(L424:L427)</f>
        <v>22870000</v>
      </c>
      <c r="M428" s="396"/>
    </row>
    <row r="429" spans="1:13" s="71" customFormat="1" ht="12.75" customHeight="1" outlineLevel="1" x14ac:dyDescent="0.2">
      <c r="A429" s="178">
        <v>44127</v>
      </c>
      <c r="B429" s="301">
        <v>44131</v>
      </c>
      <c r="C429" s="221" t="s">
        <v>149</v>
      </c>
      <c r="D429" s="222" t="s">
        <v>292</v>
      </c>
      <c r="E429" s="301">
        <v>45214</v>
      </c>
      <c r="F429" s="304">
        <v>5.7000000000000002E-2</v>
      </c>
      <c r="G429" s="304"/>
      <c r="H429" s="304"/>
      <c r="I429" s="303"/>
      <c r="J429" s="303"/>
      <c r="K429" s="189">
        <v>12972170</v>
      </c>
      <c r="L429" s="189">
        <v>12972170</v>
      </c>
      <c r="M429" s="184">
        <f>IF(L429=0,0,K429/L429)</f>
        <v>1</v>
      </c>
    </row>
    <row r="430" spans="1:13" s="71" customFormat="1" ht="12.75" customHeight="1" outlineLevel="1" x14ac:dyDescent="0.2">
      <c r="A430" s="477" t="s">
        <v>121</v>
      </c>
      <c r="B430" s="478"/>
      <c r="C430" s="478"/>
      <c r="D430" s="478"/>
      <c r="E430" s="478"/>
      <c r="F430" s="478"/>
      <c r="G430" s="478"/>
      <c r="H430" s="478"/>
      <c r="I430" s="478"/>
      <c r="J430" s="479"/>
      <c r="K430" s="220">
        <f>K429</f>
        <v>12972170</v>
      </c>
      <c r="L430" s="220">
        <f>L429</f>
        <v>12972170</v>
      </c>
      <c r="M430" s="204"/>
    </row>
    <row r="431" spans="1:13" s="180" customFormat="1" ht="12.75" customHeight="1" x14ac:dyDescent="0.2">
      <c r="A431" s="489" t="s">
        <v>294</v>
      </c>
      <c r="B431" s="489"/>
      <c r="C431" s="489"/>
      <c r="D431" s="489"/>
      <c r="E431" s="489"/>
      <c r="F431" s="489"/>
      <c r="G431" s="489"/>
      <c r="H431" s="489"/>
      <c r="I431" s="489"/>
      <c r="J431" s="489"/>
      <c r="K431" s="315">
        <f>SUM(K391,K396,K404,K409,K415,K423,K428,K430,)</f>
        <v>266537570</v>
      </c>
      <c r="L431" s="315">
        <f>SUM(L391,L396,L404,L409,L415,L423,L428,L430)</f>
        <v>164792170</v>
      </c>
      <c r="M431" s="181"/>
    </row>
    <row r="432" spans="1:13" s="180" customFormat="1" ht="12.75" customHeight="1" x14ac:dyDescent="0.2">
      <c r="A432" s="489" t="s">
        <v>295</v>
      </c>
      <c r="B432" s="489"/>
      <c r="C432" s="489"/>
      <c r="D432" s="489"/>
      <c r="E432" s="489"/>
      <c r="F432" s="489"/>
      <c r="G432" s="489"/>
      <c r="H432" s="489"/>
      <c r="I432" s="489"/>
      <c r="J432" s="489"/>
      <c r="K432" s="315">
        <f>K384+K431</f>
        <v>2964146144</v>
      </c>
      <c r="L432" s="440">
        <f>L384+L431</f>
        <v>1253998544</v>
      </c>
      <c r="M432" s="181"/>
    </row>
    <row r="433" spans="1:13" s="249" customFormat="1" ht="13.5" customHeight="1" outlineLevel="1" x14ac:dyDescent="0.2">
      <c r="A433" s="398">
        <v>44131</v>
      </c>
      <c r="B433" s="398">
        <v>44138</v>
      </c>
      <c r="C433" s="399" t="s">
        <v>145</v>
      </c>
      <c r="D433" s="400" t="s">
        <v>293</v>
      </c>
      <c r="E433" s="401">
        <v>44300</v>
      </c>
      <c r="F433" s="402" t="s">
        <v>128</v>
      </c>
      <c r="G433" s="403">
        <v>2.9687499999999999E-2</v>
      </c>
      <c r="H433" s="403">
        <v>3.4375000000000003E-2</v>
      </c>
      <c r="I433" s="403">
        <v>3.0866899999999999E-2</v>
      </c>
      <c r="J433" s="404">
        <v>3.125E-2</v>
      </c>
      <c r="K433" s="443">
        <v>3175000</v>
      </c>
      <c r="L433" s="405">
        <v>1550000</v>
      </c>
      <c r="M433" s="318">
        <f t="shared" ref="M433:M437" si="52">IF(L433=0,0,K433/L433)</f>
        <v>2.0483870967741935</v>
      </c>
    </row>
    <row r="434" spans="1:13" s="249" customFormat="1" ht="13.5" customHeight="1" outlineLevel="1" x14ac:dyDescent="0.2">
      <c r="A434" s="409"/>
      <c r="B434" s="409"/>
      <c r="C434" s="409"/>
      <c r="D434" s="410" t="s">
        <v>196</v>
      </c>
      <c r="E434" s="411">
        <v>45061</v>
      </c>
      <c r="F434" s="412">
        <v>6.5000000000000002E-2</v>
      </c>
      <c r="G434" s="413">
        <v>4.4999999999999998E-2</v>
      </c>
      <c r="H434" s="413">
        <v>4.7812500000000001E-2</v>
      </c>
      <c r="I434" s="413">
        <v>4.5285899999999997E-2</v>
      </c>
      <c r="J434" s="414">
        <v>4.5624999999999999E-2</v>
      </c>
      <c r="K434" s="444">
        <v>1151000</v>
      </c>
      <c r="L434" s="415">
        <v>800000</v>
      </c>
      <c r="M434" s="318">
        <f t="shared" si="52"/>
        <v>1.43875</v>
      </c>
    </row>
    <row r="435" spans="1:13" s="249" customFormat="1" ht="13.5" customHeight="1" outlineLevel="1" x14ac:dyDescent="0.2">
      <c r="A435" s="409"/>
      <c r="B435" s="409"/>
      <c r="C435" s="409"/>
      <c r="D435" s="410" t="s">
        <v>147</v>
      </c>
      <c r="E435" s="411">
        <v>45580</v>
      </c>
      <c r="F435" s="412">
        <v>6.6250000000000003E-2</v>
      </c>
      <c r="G435" s="413">
        <v>5.1874999999999998E-2</v>
      </c>
      <c r="H435" s="417">
        <v>5.5312500000000001E-2</v>
      </c>
      <c r="I435" s="413">
        <v>5.2594200000000001E-2</v>
      </c>
      <c r="J435" s="414">
        <v>5.3124999999999999E-2</v>
      </c>
      <c r="K435" s="444">
        <v>3916700</v>
      </c>
      <c r="L435" s="415">
        <v>2950000</v>
      </c>
      <c r="M435" s="318">
        <f t="shared" si="52"/>
        <v>1.3276949152542372</v>
      </c>
    </row>
    <row r="436" spans="1:13" s="249" customFormat="1" ht="13.5" customHeight="1" outlineLevel="1" x14ac:dyDescent="0.2">
      <c r="A436" s="409"/>
      <c r="B436" s="409"/>
      <c r="C436" s="409"/>
      <c r="D436" s="410" t="s">
        <v>260</v>
      </c>
      <c r="E436" s="411">
        <v>48714</v>
      </c>
      <c r="F436" s="418">
        <v>8.3750000000000005E-2</v>
      </c>
      <c r="G436" s="413">
        <v>6.9687499999999999E-2</v>
      </c>
      <c r="H436" s="413">
        <v>8.2187499999999997E-2</v>
      </c>
      <c r="I436" s="413">
        <v>7.0227100000000001E-2</v>
      </c>
      <c r="J436" s="419">
        <v>7.0624999999999993E-2</v>
      </c>
      <c r="K436" s="444">
        <v>4531000</v>
      </c>
      <c r="L436" s="415">
        <v>2300000</v>
      </c>
      <c r="M436" s="318">
        <f t="shared" si="52"/>
        <v>1.97</v>
      </c>
    </row>
    <row r="437" spans="1:13" s="249" customFormat="1" ht="13.5" customHeight="1" outlineLevel="1" x14ac:dyDescent="0.2">
      <c r="A437" s="420"/>
      <c r="B437" s="420"/>
      <c r="C437" s="420"/>
      <c r="D437" s="421" t="s">
        <v>221</v>
      </c>
      <c r="E437" s="422">
        <v>53615</v>
      </c>
      <c r="F437" s="423">
        <v>7.7499999999999999E-2</v>
      </c>
      <c r="G437" s="424">
        <v>7.4062500000000003E-2</v>
      </c>
      <c r="H437" s="424">
        <v>7.5312500000000004E-2</v>
      </c>
      <c r="I437" s="424">
        <v>7.4356599999999995E-2</v>
      </c>
      <c r="J437" s="425">
        <v>7.4687500000000004E-2</v>
      </c>
      <c r="K437" s="445">
        <v>8127000</v>
      </c>
      <c r="L437" s="426">
        <v>4750000</v>
      </c>
      <c r="M437" s="318">
        <f t="shared" si="52"/>
        <v>1.7109473684210526</v>
      </c>
    </row>
    <row r="438" spans="1:13" s="180" customFormat="1" ht="13.5" customHeight="1" x14ac:dyDescent="0.2">
      <c r="A438" s="471" t="s">
        <v>121</v>
      </c>
      <c r="B438" s="472"/>
      <c r="C438" s="472"/>
      <c r="D438" s="472"/>
      <c r="E438" s="472"/>
      <c r="F438" s="472"/>
      <c r="G438" s="472"/>
      <c r="H438" s="472"/>
      <c r="I438" s="472"/>
      <c r="J438" s="473"/>
      <c r="K438" s="434">
        <f>SUM(K433:K437)</f>
        <v>20900700</v>
      </c>
      <c r="L438" s="434">
        <f>SUM(L433:L437)</f>
        <v>12350000</v>
      </c>
      <c r="M438" s="430"/>
    </row>
    <row r="439" spans="1:13" s="206" customFormat="1" ht="13.5" customHeight="1" outlineLevel="1" x14ac:dyDescent="0.2">
      <c r="A439" s="398">
        <v>44131</v>
      </c>
      <c r="B439" s="398">
        <v>44138</v>
      </c>
      <c r="C439" s="205" t="s">
        <v>170</v>
      </c>
      <c r="D439" s="202" t="s">
        <v>94</v>
      </c>
      <c r="E439" s="301">
        <v>45061</v>
      </c>
      <c r="F439" s="304">
        <v>5.6250000000000001E-2</v>
      </c>
      <c r="G439" s="304"/>
      <c r="H439" s="223"/>
      <c r="I439" s="304"/>
      <c r="J439" s="196"/>
      <c r="K439" s="173">
        <v>500000</v>
      </c>
      <c r="L439" s="173">
        <v>500000</v>
      </c>
      <c r="M439" s="193"/>
    </row>
    <row r="440" spans="1:13" s="206" customFormat="1" ht="12.75" customHeight="1" outlineLevel="1" x14ac:dyDescent="0.2">
      <c r="A440" s="301"/>
      <c r="B440" s="301"/>
      <c r="C440" s="205" t="s">
        <v>170</v>
      </c>
      <c r="D440" s="202" t="s">
        <v>95</v>
      </c>
      <c r="E440" s="301">
        <v>46888</v>
      </c>
      <c r="F440" s="304">
        <v>6.1249999999999999E-2</v>
      </c>
      <c r="G440" s="304"/>
      <c r="H440" s="223"/>
      <c r="I440" s="304"/>
      <c r="J440" s="196"/>
      <c r="K440" s="173">
        <v>1500000</v>
      </c>
      <c r="L440" s="173">
        <v>1500000</v>
      </c>
      <c r="M440" s="193"/>
    </row>
    <row r="441" spans="1:13" s="228" customFormat="1" ht="12.75" customHeight="1" outlineLevel="1" x14ac:dyDescent="0.2">
      <c r="A441" s="486" t="s">
        <v>121</v>
      </c>
      <c r="B441" s="487"/>
      <c r="C441" s="487"/>
      <c r="D441" s="487"/>
      <c r="E441" s="487"/>
      <c r="F441" s="487"/>
      <c r="G441" s="487"/>
      <c r="H441" s="487"/>
      <c r="I441" s="487"/>
      <c r="J441" s="488"/>
      <c r="K441" s="448">
        <f>K440+K439</f>
        <v>2000000</v>
      </c>
      <c r="L441" s="448">
        <f>L440+L439</f>
        <v>2000000</v>
      </c>
      <c r="M441" s="449"/>
    </row>
    <row r="442" spans="1:13" s="249" customFormat="1" ht="12.75" customHeight="1" outlineLevel="1" x14ac:dyDescent="0.2">
      <c r="A442" s="398">
        <v>44138</v>
      </c>
      <c r="B442" s="398">
        <v>44140</v>
      </c>
      <c r="C442" s="241" t="s">
        <v>145</v>
      </c>
      <c r="D442" s="308" t="s">
        <v>158</v>
      </c>
      <c r="E442" s="309">
        <v>44232</v>
      </c>
      <c r="F442" s="317" t="s">
        <v>128</v>
      </c>
      <c r="G442" s="320">
        <v>2.9499999999999998E-2</v>
      </c>
      <c r="H442" s="320">
        <v>3.2500000000000001E-2</v>
      </c>
      <c r="I442" s="274">
        <v>2.9793300000000002E-2</v>
      </c>
      <c r="J442" s="274">
        <v>3.0499999999999999E-2</v>
      </c>
      <c r="K442" s="247">
        <v>1895000</v>
      </c>
      <c r="L442" s="247">
        <v>1500000</v>
      </c>
      <c r="M442" s="318">
        <f t="shared" ref="M442:M448" si="53">IF(L442=0,0,K442/L442)</f>
        <v>1.2633333333333334</v>
      </c>
    </row>
    <row r="443" spans="1:13" s="253" customFormat="1" ht="12.75" customHeight="1" outlineLevel="1" x14ac:dyDescent="0.2">
      <c r="A443" s="250"/>
      <c r="B443" s="250"/>
      <c r="C443" s="446"/>
      <c r="D443" s="308" t="s">
        <v>297</v>
      </c>
      <c r="E443" s="309">
        <v>44504</v>
      </c>
      <c r="F443" s="317" t="s">
        <v>128</v>
      </c>
      <c r="G443" s="245">
        <v>3.2199999999999999E-2</v>
      </c>
      <c r="H443" s="245">
        <v>3.3500000000000002E-2</v>
      </c>
      <c r="I443" s="246">
        <v>3.2500000000000001E-2</v>
      </c>
      <c r="J443" s="246">
        <v>3.2899999999999999E-2</v>
      </c>
      <c r="K443" s="247">
        <v>2660000</v>
      </c>
      <c r="L443" s="247">
        <v>1050000</v>
      </c>
      <c r="M443" s="318">
        <f t="shared" si="53"/>
        <v>2.5333333333333332</v>
      </c>
    </row>
    <row r="444" spans="1:13" s="253" customFormat="1" ht="12.75" customHeight="1" outlineLevel="1" x14ac:dyDescent="0.2">
      <c r="A444" s="250"/>
      <c r="B444" s="250"/>
      <c r="C444" s="446"/>
      <c r="D444" s="308" t="s">
        <v>257</v>
      </c>
      <c r="E444" s="309">
        <v>46127</v>
      </c>
      <c r="F444" s="310">
        <v>5.5E-2</v>
      </c>
      <c r="G444" s="245">
        <v>5.4800000000000001E-2</v>
      </c>
      <c r="H444" s="245">
        <v>5.7000000000000002E-2</v>
      </c>
      <c r="I444" s="246">
        <v>5.5245900000000001E-2</v>
      </c>
      <c r="J444" s="246">
        <v>5.5E-2</v>
      </c>
      <c r="K444" s="319">
        <v>12547000</v>
      </c>
      <c r="L444" s="319">
        <v>4800000</v>
      </c>
      <c r="M444" s="318">
        <f t="shared" si="53"/>
        <v>2.6139583333333332</v>
      </c>
    </row>
    <row r="445" spans="1:13" s="253" customFormat="1" ht="12.75" customHeight="1" outlineLevel="1" x14ac:dyDescent="0.2">
      <c r="A445" s="250"/>
      <c r="B445" s="250"/>
      <c r="C445" s="446"/>
      <c r="D445" s="308" t="s">
        <v>258</v>
      </c>
      <c r="E445" s="309">
        <v>47894</v>
      </c>
      <c r="F445" s="310">
        <v>6.5000000000000002E-2</v>
      </c>
      <c r="G445" s="245">
        <v>6.5500000000000003E-2</v>
      </c>
      <c r="H445" s="245">
        <v>6.7500000000000004E-2</v>
      </c>
      <c r="I445" s="246">
        <v>6.5859100000000004E-2</v>
      </c>
      <c r="J445" s="246">
        <v>6.6000000000000003E-2</v>
      </c>
      <c r="K445" s="319">
        <v>19458300</v>
      </c>
      <c r="L445" s="319">
        <v>7150000</v>
      </c>
      <c r="M445" s="318">
        <f t="shared" si="53"/>
        <v>2.7214405594405595</v>
      </c>
    </row>
    <row r="446" spans="1:13" s="253" customFormat="1" ht="12.75" customHeight="1" outlineLevel="1" x14ac:dyDescent="0.2">
      <c r="A446" s="250"/>
      <c r="B446" s="250"/>
      <c r="C446" s="446"/>
      <c r="D446" s="308" t="s">
        <v>136</v>
      </c>
      <c r="E446" s="309">
        <v>49475</v>
      </c>
      <c r="F446" s="310">
        <v>7.4999999999999997E-2</v>
      </c>
      <c r="G446" s="245">
        <v>7.1400000000000005E-2</v>
      </c>
      <c r="H446" s="245">
        <v>7.2999999999999995E-2</v>
      </c>
      <c r="I446" s="246">
        <v>7.1585399999999993E-2</v>
      </c>
      <c r="J446" s="246">
        <v>7.1599999999999997E-2</v>
      </c>
      <c r="K446" s="319">
        <v>15518700</v>
      </c>
      <c r="L446" s="319">
        <v>6200000</v>
      </c>
      <c r="M446" s="318">
        <f t="shared" si="53"/>
        <v>2.5030161290322579</v>
      </c>
    </row>
    <row r="447" spans="1:13" s="253" customFormat="1" ht="12.75" customHeight="1" outlineLevel="1" x14ac:dyDescent="0.2">
      <c r="A447" s="250"/>
      <c r="B447" s="250"/>
      <c r="C447" s="446"/>
      <c r="D447" s="308" t="s">
        <v>144</v>
      </c>
      <c r="E447" s="309">
        <v>51241</v>
      </c>
      <c r="F447" s="310">
        <v>7.4999999999999997E-2</v>
      </c>
      <c r="G447" s="245">
        <v>7.22E-2</v>
      </c>
      <c r="H447" s="245">
        <v>7.3999999999999996E-2</v>
      </c>
      <c r="I447" s="246">
        <v>7.2498900000000005E-2</v>
      </c>
      <c r="J447" s="246">
        <v>7.2599999999999998E-2</v>
      </c>
      <c r="K447" s="319">
        <v>7442600</v>
      </c>
      <c r="L447" s="319">
        <v>4450000</v>
      </c>
      <c r="M447" s="318">
        <f t="shared" si="53"/>
        <v>1.6724943820224718</v>
      </c>
    </row>
    <row r="448" spans="1:13" s="249" customFormat="1" ht="12.75" customHeight="1" outlineLevel="1" x14ac:dyDescent="0.2">
      <c r="A448" s="250"/>
      <c r="B448" s="250"/>
      <c r="C448" s="250"/>
      <c r="D448" s="311" t="s">
        <v>134</v>
      </c>
      <c r="E448" s="307">
        <v>54193</v>
      </c>
      <c r="F448" s="310">
        <v>7.3749999999999996E-2</v>
      </c>
      <c r="G448" s="312">
        <v>7.2900000000000006E-2</v>
      </c>
      <c r="H448" s="310">
        <v>7.4999999999999997E-2</v>
      </c>
      <c r="I448" s="246">
        <v>7.3492799999999997E-2</v>
      </c>
      <c r="J448" s="246">
        <v>7.3700000000000002E-2</v>
      </c>
      <c r="K448" s="319">
        <v>6746800</v>
      </c>
      <c r="L448" s="319">
        <v>4350000</v>
      </c>
      <c r="M448" s="318">
        <f t="shared" si="53"/>
        <v>1.5509885057471264</v>
      </c>
    </row>
    <row r="449" spans="1:13" s="249" customFormat="1" ht="12.75" customHeight="1" outlineLevel="1" x14ac:dyDescent="0.2">
      <c r="A449" s="474" t="s">
        <v>121</v>
      </c>
      <c r="B449" s="475"/>
      <c r="C449" s="475"/>
      <c r="D449" s="475"/>
      <c r="E449" s="475"/>
      <c r="F449" s="475"/>
      <c r="G449" s="475"/>
      <c r="H449" s="475"/>
      <c r="I449" s="475"/>
      <c r="J449" s="476"/>
      <c r="K449" s="396">
        <f>SUM(K442:K448)</f>
        <v>66268400</v>
      </c>
      <c r="L449" s="396">
        <f>SUM(L442:L448)</f>
        <v>29500000</v>
      </c>
      <c r="M449" s="396"/>
    </row>
    <row r="450" spans="1:13" s="249" customFormat="1" ht="13.5" customHeight="1" outlineLevel="1" x14ac:dyDescent="0.2">
      <c r="A450" s="398">
        <v>44145</v>
      </c>
      <c r="B450" s="398">
        <v>44147</v>
      </c>
      <c r="C450" s="399" t="s">
        <v>145</v>
      </c>
      <c r="D450" s="400" t="s">
        <v>309</v>
      </c>
      <c r="E450" s="401">
        <v>44327</v>
      </c>
      <c r="F450" s="402" t="s">
        <v>128</v>
      </c>
      <c r="G450" s="403">
        <v>0.03</v>
      </c>
      <c r="H450" s="403">
        <v>4.2500000000000003E-2</v>
      </c>
      <c r="I450" s="403">
        <v>3.0268799999999998E-2</v>
      </c>
      <c r="J450" s="404">
        <v>3.0624999999999999E-2</v>
      </c>
      <c r="K450" s="443">
        <v>2121000</v>
      </c>
      <c r="L450" s="405">
        <v>1000000</v>
      </c>
      <c r="M450" s="318">
        <f t="shared" ref="M450:M454" si="54">IF(L450=0,0,K450/L450)</f>
        <v>2.121</v>
      </c>
    </row>
    <row r="451" spans="1:13" s="249" customFormat="1" ht="13.5" customHeight="1" outlineLevel="1" x14ac:dyDescent="0.2">
      <c r="A451" s="409"/>
      <c r="B451" s="409"/>
      <c r="C451" s="409"/>
      <c r="D451" s="410" t="s">
        <v>196</v>
      </c>
      <c r="E451" s="411">
        <v>45061</v>
      </c>
      <c r="F451" s="412">
        <v>6.5000000000000002E-2</v>
      </c>
      <c r="G451" s="413">
        <v>4.4062499999999998E-2</v>
      </c>
      <c r="H451" s="413">
        <v>4.6875E-2</v>
      </c>
      <c r="I451" s="413">
        <v>4.4582700000000003E-2</v>
      </c>
      <c r="J451" s="414">
        <v>4.4999999999999998E-2</v>
      </c>
      <c r="K451" s="444">
        <v>2035000</v>
      </c>
      <c r="L451" s="415">
        <v>1150000</v>
      </c>
      <c r="M451" s="318">
        <f t="shared" si="54"/>
        <v>1.7695652173913043</v>
      </c>
    </row>
    <row r="452" spans="1:13" s="249" customFormat="1" ht="13.5" customHeight="1" outlineLevel="1" x14ac:dyDescent="0.2">
      <c r="A452" s="409"/>
      <c r="B452" s="409"/>
      <c r="C452" s="409"/>
      <c r="D452" s="410" t="s">
        <v>147</v>
      </c>
      <c r="E452" s="411">
        <v>45580</v>
      </c>
      <c r="F452" s="412">
        <v>6.6250000000000003E-2</v>
      </c>
      <c r="G452" s="413">
        <v>5.0937499999999997E-2</v>
      </c>
      <c r="H452" s="417">
        <v>5.5E-2</v>
      </c>
      <c r="I452" s="413">
        <v>5.12974E-2</v>
      </c>
      <c r="J452" s="414">
        <v>5.1562499999999997E-2</v>
      </c>
      <c r="K452" s="444">
        <v>5409000</v>
      </c>
      <c r="L452" s="415">
        <v>1600000</v>
      </c>
      <c r="M452" s="318">
        <f t="shared" si="54"/>
        <v>3.3806250000000002</v>
      </c>
    </row>
    <row r="453" spans="1:13" s="249" customFormat="1" ht="13.5" customHeight="1" outlineLevel="1" x14ac:dyDescent="0.2">
      <c r="A453" s="409"/>
      <c r="B453" s="409"/>
      <c r="C453" s="409"/>
      <c r="D453" s="410" t="s">
        <v>260</v>
      </c>
      <c r="E453" s="411">
        <v>48714</v>
      </c>
      <c r="F453" s="418">
        <v>8.3750000000000005E-2</v>
      </c>
      <c r="G453" s="413">
        <v>6.7168749999999999E-2</v>
      </c>
      <c r="H453" s="413">
        <v>7.2499999999999995E-2</v>
      </c>
      <c r="I453" s="413">
        <v>6.8160200000000004E-2</v>
      </c>
      <c r="J453" s="419">
        <v>6.8160200000000004E-2</v>
      </c>
      <c r="K453" s="444">
        <v>5061000</v>
      </c>
      <c r="L453" s="415">
        <v>1900000</v>
      </c>
      <c r="M453" s="318">
        <f t="shared" si="54"/>
        <v>2.6636842105263159</v>
      </c>
    </row>
    <row r="454" spans="1:13" s="249" customFormat="1" ht="13.5" customHeight="1" outlineLevel="1" x14ac:dyDescent="0.2">
      <c r="A454" s="420"/>
      <c r="B454" s="420"/>
      <c r="C454" s="420"/>
      <c r="D454" s="421" t="s">
        <v>221</v>
      </c>
      <c r="E454" s="422">
        <v>53615</v>
      </c>
      <c r="F454" s="423">
        <v>7.7499999999999999E-2</v>
      </c>
      <c r="G454" s="424">
        <v>7.2812500000000002E-2</v>
      </c>
      <c r="H454" s="424">
        <v>7.4999999999999997E-2</v>
      </c>
      <c r="I454" s="424">
        <v>7.3176000000000005E-2</v>
      </c>
      <c r="J454" s="425">
        <v>7.3437500000000003E-2</v>
      </c>
      <c r="K454" s="445">
        <v>8005000</v>
      </c>
      <c r="L454" s="426">
        <v>4350000</v>
      </c>
      <c r="M454" s="318">
        <f t="shared" si="54"/>
        <v>1.8402298850574712</v>
      </c>
    </row>
    <row r="455" spans="1:13" s="180" customFormat="1" ht="13.5" customHeight="1" x14ac:dyDescent="0.2">
      <c r="A455" s="471" t="s">
        <v>121</v>
      </c>
      <c r="B455" s="472"/>
      <c r="C455" s="472"/>
      <c r="D455" s="472"/>
      <c r="E455" s="472"/>
      <c r="F455" s="472"/>
      <c r="G455" s="472"/>
      <c r="H455" s="472"/>
      <c r="I455" s="472"/>
      <c r="J455" s="473"/>
      <c r="K455" s="434">
        <f>SUM(K450:K454)</f>
        <v>22631000</v>
      </c>
      <c r="L455" s="434">
        <f>SUM(L450:L454)</f>
        <v>10000000</v>
      </c>
      <c r="M455" s="430"/>
    </row>
    <row r="456" spans="1:13" s="253" customFormat="1" ht="17.25" customHeight="1" outlineLevel="1" x14ac:dyDescent="0.2">
      <c r="A456" s="307">
        <v>44147</v>
      </c>
      <c r="B456" s="307">
        <v>44151</v>
      </c>
      <c r="C456" s="241" t="s">
        <v>170</v>
      </c>
      <c r="D456" s="265" t="s">
        <v>298</v>
      </c>
      <c r="E456" s="266">
        <v>45977</v>
      </c>
      <c r="F456" s="503" t="s">
        <v>302</v>
      </c>
      <c r="G456" s="268" t="s">
        <v>130</v>
      </c>
      <c r="H456" s="268" t="s">
        <v>130</v>
      </c>
      <c r="I456" s="269">
        <v>1</v>
      </c>
      <c r="J456" s="268" t="s">
        <v>130</v>
      </c>
      <c r="K456" s="270">
        <v>4370000</v>
      </c>
      <c r="L456" s="270">
        <v>4370000</v>
      </c>
      <c r="M456" s="318">
        <f t="shared" ref="M456:M459" si="55">IF(L456=0,0,K456/L456)</f>
        <v>1</v>
      </c>
    </row>
    <row r="457" spans="1:13" s="253" customFormat="1" ht="16.5" customHeight="1" outlineLevel="1" x14ac:dyDescent="0.2">
      <c r="A457" s="250"/>
      <c r="B457" s="250"/>
      <c r="C457" s="447"/>
      <c r="D457" s="265" t="s">
        <v>299</v>
      </c>
      <c r="E457" s="266">
        <v>46342</v>
      </c>
      <c r="F457" s="503"/>
      <c r="G457" s="268" t="s">
        <v>130</v>
      </c>
      <c r="H457" s="268" t="s">
        <v>130</v>
      </c>
      <c r="I457" s="269">
        <v>1</v>
      </c>
      <c r="J457" s="268" t="s">
        <v>130</v>
      </c>
      <c r="K457" s="270">
        <v>4370000</v>
      </c>
      <c r="L457" s="270">
        <v>4370000</v>
      </c>
      <c r="M457" s="318">
        <f t="shared" si="55"/>
        <v>1</v>
      </c>
    </row>
    <row r="458" spans="1:13" s="272" customFormat="1" ht="17.25" customHeight="1" outlineLevel="1" x14ac:dyDescent="0.2">
      <c r="A458" s="263"/>
      <c r="B458" s="263"/>
      <c r="C458" s="264"/>
      <c r="D458" s="265" t="s">
        <v>300</v>
      </c>
      <c r="E458" s="266">
        <v>46707</v>
      </c>
      <c r="F458" s="503"/>
      <c r="G458" s="268" t="s">
        <v>130</v>
      </c>
      <c r="H458" s="268" t="s">
        <v>130</v>
      </c>
      <c r="I458" s="269">
        <v>1</v>
      </c>
      <c r="J458" s="268" t="s">
        <v>130</v>
      </c>
      <c r="K458" s="270">
        <v>4370000</v>
      </c>
      <c r="L458" s="270">
        <v>4370000</v>
      </c>
      <c r="M458" s="271">
        <f t="shared" si="55"/>
        <v>1</v>
      </c>
    </row>
    <row r="459" spans="1:13" s="272" customFormat="1" ht="15" customHeight="1" outlineLevel="1" x14ac:dyDescent="0.2">
      <c r="A459" s="263"/>
      <c r="B459" s="263"/>
      <c r="C459" s="264"/>
      <c r="D459" s="265" t="s">
        <v>301</v>
      </c>
      <c r="E459" s="266">
        <v>47073</v>
      </c>
      <c r="F459" s="503"/>
      <c r="G459" s="268" t="s">
        <v>130</v>
      </c>
      <c r="H459" s="268" t="s">
        <v>130</v>
      </c>
      <c r="I459" s="269">
        <v>1</v>
      </c>
      <c r="J459" s="268" t="s">
        <v>130</v>
      </c>
      <c r="K459" s="270">
        <v>4370000</v>
      </c>
      <c r="L459" s="270">
        <v>4370000</v>
      </c>
      <c r="M459" s="271">
        <f t="shared" si="55"/>
        <v>1</v>
      </c>
    </row>
    <row r="460" spans="1:13" s="249" customFormat="1" ht="12.75" customHeight="1" outlineLevel="1" x14ac:dyDescent="0.2">
      <c r="A460" s="474" t="s">
        <v>121</v>
      </c>
      <c r="B460" s="475"/>
      <c r="C460" s="475"/>
      <c r="D460" s="475"/>
      <c r="E460" s="475"/>
      <c r="F460" s="475"/>
      <c r="G460" s="475"/>
      <c r="H460" s="475"/>
      <c r="I460" s="475"/>
      <c r="J460" s="476"/>
      <c r="K460" s="396">
        <f>SUM(K456:K459)</f>
        <v>17480000</v>
      </c>
      <c r="L460" s="396">
        <f>SUM(L456:L459)</f>
        <v>17480000</v>
      </c>
      <c r="M460" s="396"/>
    </row>
    <row r="461" spans="1:13" s="249" customFormat="1" ht="12.75" customHeight="1" outlineLevel="1" x14ac:dyDescent="0.2">
      <c r="A461" s="398">
        <v>44152</v>
      </c>
      <c r="B461" s="398">
        <v>44154</v>
      </c>
      <c r="C461" s="241" t="s">
        <v>145</v>
      </c>
      <c r="D461" s="308" t="s">
        <v>303</v>
      </c>
      <c r="E461" s="309">
        <v>44245</v>
      </c>
      <c r="F461" s="317" t="s">
        <v>128</v>
      </c>
      <c r="G461" s="320">
        <v>2.9499999999999998E-2</v>
      </c>
      <c r="H461" s="320">
        <v>3.0499999999999999E-2</v>
      </c>
      <c r="I461" s="274">
        <v>2.99923E-2</v>
      </c>
      <c r="J461" s="274">
        <v>0.03</v>
      </c>
      <c r="K461" s="247">
        <v>1460000</v>
      </c>
      <c r="L461" s="247">
        <v>1000000</v>
      </c>
      <c r="M461" s="318">
        <f t="shared" ref="M461:M467" si="56">IF(L461=0,0,K461/L461)</f>
        <v>1.46</v>
      </c>
    </row>
    <row r="462" spans="1:13" s="253" customFormat="1" ht="12.75" customHeight="1" outlineLevel="1" x14ac:dyDescent="0.2">
      <c r="A462" s="250"/>
      <c r="B462" s="250"/>
      <c r="C462" s="450"/>
      <c r="D462" s="308" t="s">
        <v>256</v>
      </c>
      <c r="E462" s="309">
        <v>44420</v>
      </c>
      <c r="F462" s="317" t="s">
        <v>128</v>
      </c>
      <c r="G462" s="245">
        <v>3.1399999999999997E-2</v>
      </c>
      <c r="H462" s="245">
        <v>3.2500000000000001E-2</v>
      </c>
      <c r="I462" s="246">
        <v>3.15E-2</v>
      </c>
      <c r="J462" s="246">
        <v>3.1600000000000003E-2</v>
      </c>
      <c r="K462" s="247">
        <v>3360000</v>
      </c>
      <c r="L462" s="247">
        <v>1000000</v>
      </c>
      <c r="M462" s="318">
        <f t="shared" si="56"/>
        <v>3.36</v>
      </c>
    </row>
    <row r="463" spans="1:13" s="253" customFormat="1" ht="12.75" customHeight="1" outlineLevel="1" x14ac:dyDescent="0.2">
      <c r="A463" s="250"/>
      <c r="B463" s="250"/>
      <c r="C463" s="450"/>
      <c r="D463" s="308" t="s">
        <v>257</v>
      </c>
      <c r="E463" s="309">
        <v>46127</v>
      </c>
      <c r="F463" s="310">
        <v>5.5E-2</v>
      </c>
      <c r="G463" s="245">
        <v>5.1799999999999999E-2</v>
      </c>
      <c r="H463" s="245">
        <v>5.5500000000000001E-2</v>
      </c>
      <c r="I463" s="246">
        <v>5.1963000000000002E-2</v>
      </c>
      <c r="J463" s="246">
        <v>5.21E-2</v>
      </c>
      <c r="K463" s="319">
        <v>23417000</v>
      </c>
      <c r="L463" s="319">
        <v>6000000</v>
      </c>
      <c r="M463" s="318">
        <f t="shared" si="56"/>
        <v>3.9028333333333332</v>
      </c>
    </row>
    <row r="464" spans="1:13" s="253" customFormat="1" ht="12.75" customHeight="1" outlineLevel="1" x14ac:dyDescent="0.2">
      <c r="A464" s="250"/>
      <c r="B464" s="250"/>
      <c r="C464" s="450"/>
      <c r="D464" s="308" t="s">
        <v>258</v>
      </c>
      <c r="E464" s="309">
        <v>47894</v>
      </c>
      <c r="F464" s="310">
        <v>6.5000000000000002E-2</v>
      </c>
      <c r="G464" s="245">
        <v>6.1499999999999999E-2</v>
      </c>
      <c r="H464" s="245">
        <v>6.3399999999999998E-2</v>
      </c>
      <c r="I464" s="246">
        <v>6.1989599999999999E-2</v>
      </c>
      <c r="J464" s="246">
        <v>6.2100000000000002E-2</v>
      </c>
      <c r="K464" s="319">
        <v>29357100</v>
      </c>
      <c r="L464" s="319">
        <v>8450000</v>
      </c>
      <c r="M464" s="318">
        <f t="shared" si="56"/>
        <v>3.4742130177514792</v>
      </c>
    </row>
    <row r="465" spans="1:13" s="253" customFormat="1" ht="12.75" customHeight="1" outlineLevel="1" x14ac:dyDescent="0.2">
      <c r="A465" s="250"/>
      <c r="B465" s="250"/>
      <c r="C465" s="450"/>
      <c r="D465" s="308" t="s">
        <v>136</v>
      </c>
      <c r="E465" s="309">
        <v>49475</v>
      </c>
      <c r="F465" s="310">
        <v>7.4999999999999997E-2</v>
      </c>
      <c r="G465" s="245">
        <v>6.7000000000000004E-2</v>
      </c>
      <c r="H465" s="245">
        <v>7.0000000000000007E-2</v>
      </c>
      <c r="I465" s="246">
        <v>6.7000000000000004E-2</v>
      </c>
      <c r="J465" s="246">
        <v>6.7000000000000004E-2</v>
      </c>
      <c r="K465" s="319">
        <v>24337000</v>
      </c>
      <c r="L465" s="319">
        <v>5750000</v>
      </c>
      <c r="M465" s="318">
        <f t="shared" si="56"/>
        <v>4.2325217391304344</v>
      </c>
    </row>
    <row r="466" spans="1:13" s="253" customFormat="1" ht="12.75" customHeight="1" outlineLevel="1" x14ac:dyDescent="0.2">
      <c r="A466" s="250"/>
      <c r="B466" s="250"/>
      <c r="C466" s="450"/>
      <c r="D466" s="308" t="s">
        <v>144</v>
      </c>
      <c r="E466" s="309">
        <v>51241</v>
      </c>
      <c r="F466" s="310">
        <v>7.4999999999999997E-2</v>
      </c>
      <c r="G466" s="245">
        <v>7.0699999999999999E-2</v>
      </c>
      <c r="H466" s="245">
        <v>7.1900000000000006E-2</v>
      </c>
      <c r="I466" s="246">
        <v>7.0997699999999997E-2</v>
      </c>
      <c r="J466" s="246">
        <v>7.1099999999999997E-2</v>
      </c>
      <c r="K466" s="319">
        <v>14127800</v>
      </c>
      <c r="L466" s="319">
        <v>1450000</v>
      </c>
      <c r="M466" s="318">
        <f t="shared" si="56"/>
        <v>9.7433103448275862</v>
      </c>
    </row>
    <row r="467" spans="1:13" s="249" customFormat="1" ht="12.75" customHeight="1" outlineLevel="1" x14ac:dyDescent="0.2">
      <c r="A467" s="250"/>
      <c r="B467" s="250"/>
      <c r="C467" s="250"/>
      <c r="D467" s="311" t="s">
        <v>134</v>
      </c>
      <c r="E467" s="307">
        <v>54193</v>
      </c>
      <c r="F467" s="310">
        <v>7.3749999999999996E-2</v>
      </c>
      <c r="G467" s="312">
        <v>7.2499999999999995E-2</v>
      </c>
      <c r="H467" s="310">
        <v>7.4099999999999999E-2</v>
      </c>
      <c r="I467" s="246">
        <v>7.2899199999999997E-2</v>
      </c>
      <c r="J467" s="246">
        <v>7.2999999999999995E-2</v>
      </c>
      <c r="K467" s="319">
        <v>8626800</v>
      </c>
      <c r="L467" s="319">
        <v>950000</v>
      </c>
      <c r="M467" s="318">
        <f t="shared" si="56"/>
        <v>9.0808421052631587</v>
      </c>
    </row>
    <row r="468" spans="1:13" s="249" customFormat="1" ht="12.75" customHeight="1" outlineLevel="1" x14ac:dyDescent="0.2">
      <c r="A468" s="474" t="s">
        <v>121</v>
      </c>
      <c r="B468" s="475"/>
      <c r="C468" s="475"/>
      <c r="D468" s="475"/>
      <c r="E468" s="475"/>
      <c r="F468" s="475"/>
      <c r="G468" s="475"/>
      <c r="H468" s="475"/>
      <c r="I468" s="475"/>
      <c r="J468" s="476"/>
      <c r="K468" s="396">
        <f>SUM(K461:K467)</f>
        <v>104685700</v>
      </c>
      <c r="L468" s="396">
        <f>SUM(L461:L467)</f>
        <v>24600000</v>
      </c>
      <c r="M468" s="396"/>
    </row>
    <row r="469" spans="1:13" s="253" customFormat="1" ht="12.75" customHeight="1" outlineLevel="1" x14ac:dyDescent="0.2">
      <c r="A469" s="293">
        <v>44152</v>
      </c>
      <c r="B469" s="293">
        <v>44152</v>
      </c>
      <c r="C469" s="350" t="s">
        <v>170</v>
      </c>
      <c r="D469" s="351" t="s">
        <v>159</v>
      </c>
      <c r="E469" s="352">
        <v>53888</v>
      </c>
      <c r="F469" s="353">
        <v>7.3499999999999996E-2</v>
      </c>
      <c r="G469" s="354" t="s">
        <v>130</v>
      </c>
      <c r="H469" s="354" t="s">
        <v>130</v>
      </c>
      <c r="I469" s="355" t="s">
        <v>130</v>
      </c>
      <c r="J469" s="354" t="s">
        <v>130</v>
      </c>
      <c r="K469" s="356">
        <v>2000000</v>
      </c>
      <c r="L469" s="356">
        <v>2000000</v>
      </c>
      <c r="M469" s="318">
        <f t="shared" ref="M469" si="57">IF(L469=0,0,K469/L469)</f>
        <v>1</v>
      </c>
    </row>
    <row r="470" spans="1:13" s="180" customFormat="1" ht="12.75" customHeight="1" x14ac:dyDescent="0.2">
      <c r="A470" s="468" t="s">
        <v>121</v>
      </c>
      <c r="B470" s="469"/>
      <c r="C470" s="469"/>
      <c r="D470" s="469"/>
      <c r="E470" s="469"/>
      <c r="F470" s="469"/>
      <c r="G470" s="469"/>
      <c r="H470" s="469"/>
      <c r="I470" s="469"/>
      <c r="J470" s="470"/>
      <c r="K470" s="380">
        <f>SUM(K469)</f>
        <v>2000000</v>
      </c>
      <c r="L470" s="380">
        <f>SUM(L469)</f>
        <v>2000000</v>
      </c>
      <c r="M470" s="181"/>
    </row>
    <row r="471" spans="1:13" s="253" customFormat="1" ht="17.25" customHeight="1" outlineLevel="1" x14ac:dyDescent="0.2">
      <c r="A471" s="307">
        <v>44152</v>
      </c>
      <c r="B471" s="307">
        <v>44158</v>
      </c>
      <c r="C471" s="241" t="s">
        <v>170</v>
      </c>
      <c r="D471" s="265" t="s">
        <v>304</v>
      </c>
      <c r="E471" s="266">
        <v>45984</v>
      </c>
      <c r="F471" s="503" t="s">
        <v>308</v>
      </c>
      <c r="G471" s="268" t="s">
        <v>130</v>
      </c>
      <c r="H471" s="268" t="s">
        <v>130</v>
      </c>
      <c r="I471" s="269">
        <v>1</v>
      </c>
      <c r="J471" s="268" t="s">
        <v>130</v>
      </c>
      <c r="K471" s="270">
        <v>6750000</v>
      </c>
      <c r="L471" s="270">
        <v>6750000</v>
      </c>
      <c r="M471" s="318">
        <f t="shared" ref="M471:M474" si="58">IF(L471=0,0,K471/L471)</f>
        <v>1</v>
      </c>
    </row>
    <row r="472" spans="1:13" s="253" customFormat="1" ht="16.5" customHeight="1" outlineLevel="1" x14ac:dyDescent="0.2">
      <c r="A472" s="250"/>
      <c r="B472" s="250"/>
      <c r="C472" s="451"/>
      <c r="D472" s="265" t="s">
        <v>305</v>
      </c>
      <c r="E472" s="266">
        <v>46349</v>
      </c>
      <c r="F472" s="503"/>
      <c r="G472" s="268" t="s">
        <v>130</v>
      </c>
      <c r="H472" s="268" t="s">
        <v>130</v>
      </c>
      <c r="I472" s="269">
        <v>1</v>
      </c>
      <c r="J472" s="268" t="s">
        <v>130</v>
      </c>
      <c r="K472" s="270">
        <v>6750000</v>
      </c>
      <c r="L472" s="270">
        <v>6750000</v>
      </c>
      <c r="M472" s="318">
        <f t="shared" si="58"/>
        <v>1</v>
      </c>
    </row>
    <row r="473" spans="1:13" s="272" customFormat="1" ht="17.25" customHeight="1" outlineLevel="1" x14ac:dyDescent="0.2">
      <c r="A473" s="263"/>
      <c r="B473" s="263"/>
      <c r="C473" s="264"/>
      <c r="D473" s="265" t="s">
        <v>306</v>
      </c>
      <c r="E473" s="266">
        <v>46714</v>
      </c>
      <c r="F473" s="503"/>
      <c r="G473" s="268" t="s">
        <v>130</v>
      </c>
      <c r="H473" s="268" t="s">
        <v>130</v>
      </c>
      <c r="I473" s="269">
        <v>1</v>
      </c>
      <c r="J473" s="268" t="s">
        <v>130</v>
      </c>
      <c r="K473" s="270">
        <v>6750000</v>
      </c>
      <c r="L473" s="270">
        <v>6750000</v>
      </c>
      <c r="M473" s="271">
        <f t="shared" si="58"/>
        <v>1</v>
      </c>
    </row>
    <row r="474" spans="1:13" s="272" customFormat="1" ht="15" customHeight="1" outlineLevel="1" x14ac:dyDescent="0.2">
      <c r="A474" s="263"/>
      <c r="B474" s="263"/>
      <c r="C474" s="264"/>
      <c r="D474" s="265" t="s">
        <v>307</v>
      </c>
      <c r="E474" s="266">
        <v>47080</v>
      </c>
      <c r="F474" s="503"/>
      <c r="G474" s="268" t="s">
        <v>130</v>
      </c>
      <c r="H474" s="268" t="s">
        <v>130</v>
      </c>
      <c r="I474" s="269">
        <v>1</v>
      </c>
      <c r="J474" s="268" t="s">
        <v>130</v>
      </c>
      <c r="K474" s="270">
        <v>6750000</v>
      </c>
      <c r="L474" s="270">
        <v>6750000</v>
      </c>
      <c r="M474" s="271">
        <f t="shared" si="58"/>
        <v>1</v>
      </c>
    </row>
    <row r="475" spans="1:13" s="249" customFormat="1" ht="12.75" customHeight="1" outlineLevel="1" x14ac:dyDescent="0.2">
      <c r="A475" s="474" t="s">
        <v>121</v>
      </c>
      <c r="B475" s="475"/>
      <c r="C475" s="475"/>
      <c r="D475" s="475"/>
      <c r="E475" s="475"/>
      <c r="F475" s="475"/>
      <c r="G475" s="475"/>
      <c r="H475" s="475"/>
      <c r="I475" s="475"/>
      <c r="J475" s="476"/>
      <c r="K475" s="396">
        <f>SUM(K471:K474)</f>
        <v>27000000</v>
      </c>
      <c r="L475" s="396">
        <f>SUM(L471:L474)</f>
        <v>27000000</v>
      </c>
      <c r="M475" s="396"/>
    </row>
    <row r="476" spans="1:13" s="71" customFormat="1" ht="12.75" customHeight="1" outlineLevel="1" x14ac:dyDescent="0.2">
      <c r="A476" s="178">
        <v>44159</v>
      </c>
      <c r="B476" s="301">
        <v>44161</v>
      </c>
      <c r="C476" s="221" t="s">
        <v>149</v>
      </c>
      <c r="D476" s="222" t="s">
        <v>310</v>
      </c>
      <c r="E476" s="301">
        <v>44875</v>
      </c>
      <c r="F476" s="304">
        <v>5.5E-2</v>
      </c>
      <c r="G476" s="304"/>
      <c r="H476" s="304"/>
      <c r="I476" s="303"/>
      <c r="J476" s="303"/>
      <c r="K476" s="189">
        <v>14912</v>
      </c>
      <c r="L476" s="189">
        <v>14912</v>
      </c>
      <c r="M476" s="184">
        <f>IF(L476=0,0,K476/L476)</f>
        <v>1</v>
      </c>
    </row>
    <row r="477" spans="1:13" s="249" customFormat="1" ht="12.75" customHeight="1" outlineLevel="1" x14ac:dyDescent="0.2">
      <c r="A477" s="474" t="s">
        <v>121</v>
      </c>
      <c r="B477" s="475"/>
      <c r="C477" s="475"/>
      <c r="D477" s="475"/>
      <c r="E477" s="475"/>
      <c r="F477" s="475"/>
      <c r="G477" s="475"/>
      <c r="H477" s="475"/>
      <c r="I477" s="475"/>
      <c r="J477" s="476"/>
      <c r="K477" s="396">
        <f>SUM(K476)</f>
        <v>14912</v>
      </c>
      <c r="L477" s="396">
        <f>SUM(L476)</f>
        <v>14912</v>
      </c>
      <c r="M477" s="396"/>
    </row>
    <row r="478" spans="1:13" s="249" customFormat="1" ht="13.5" customHeight="1" outlineLevel="1" x14ac:dyDescent="0.2">
      <c r="A478" s="398">
        <v>44159</v>
      </c>
      <c r="B478" s="398">
        <v>44161</v>
      </c>
      <c r="C478" s="399" t="s">
        <v>145</v>
      </c>
      <c r="D478" s="400" t="s">
        <v>309</v>
      </c>
      <c r="E478" s="401">
        <v>44327</v>
      </c>
      <c r="F478" s="402" t="s">
        <v>128</v>
      </c>
      <c r="G478" s="403">
        <v>3.0312499999999999E-2</v>
      </c>
      <c r="H478" s="403">
        <v>0.05</v>
      </c>
      <c r="I478" s="452" t="s">
        <v>130</v>
      </c>
      <c r="J478" s="454" t="s">
        <v>130</v>
      </c>
      <c r="K478" s="443">
        <v>2010000</v>
      </c>
      <c r="L478" s="456" t="s">
        <v>130</v>
      </c>
      <c r="M478" s="299" t="s">
        <v>130</v>
      </c>
    </row>
    <row r="479" spans="1:13" s="249" customFormat="1" ht="13.5" customHeight="1" outlineLevel="1" x14ac:dyDescent="0.2">
      <c r="A479" s="409"/>
      <c r="B479" s="409"/>
      <c r="C479" s="409"/>
      <c r="D479" s="410" t="s">
        <v>196</v>
      </c>
      <c r="E479" s="411">
        <v>45061</v>
      </c>
      <c r="F479" s="412">
        <v>6.5000000000000002E-2</v>
      </c>
      <c r="G479" s="413">
        <v>4.4062499999999998E-2</v>
      </c>
      <c r="H479" s="413">
        <v>4.6249999999999999E-2</v>
      </c>
      <c r="I479" s="453" t="s">
        <v>130</v>
      </c>
      <c r="J479" s="455" t="s">
        <v>130</v>
      </c>
      <c r="K479" s="444">
        <v>1335000</v>
      </c>
      <c r="L479" s="457" t="s">
        <v>130</v>
      </c>
      <c r="M479" s="299" t="s">
        <v>130</v>
      </c>
    </row>
    <row r="480" spans="1:13" s="249" customFormat="1" ht="13.5" customHeight="1" outlineLevel="1" x14ac:dyDescent="0.2">
      <c r="A480" s="409"/>
      <c r="B480" s="409"/>
      <c r="C480" s="409"/>
      <c r="D480" s="410" t="s">
        <v>147</v>
      </c>
      <c r="E480" s="411">
        <v>45580</v>
      </c>
      <c r="F480" s="412">
        <v>6.6250000000000003E-2</v>
      </c>
      <c r="G480" s="413">
        <v>5.0312500000000003E-2</v>
      </c>
      <c r="H480" s="417">
        <v>5.2499999999999998E-2</v>
      </c>
      <c r="I480" s="413">
        <v>5.07892E-2</v>
      </c>
      <c r="J480" s="414">
        <v>5.0937499999999997E-2</v>
      </c>
      <c r="K480" s="444">
        <v>5607000</v>
      </c>
      <c r="L480" s="415">
        <v>2800000</v>
      </c>
      <c r="M480" s="318">
        <f t="shared" ref="M480:M482" si="59">IF(L480=0,0,K480/L480)</f>
        <v>2.0024999999999999</v>
      </c>
    </row>
    <row r="481" spans="1:13" s="249" customFormat="1" ht="13.5" customHeight="1" outlineLevel="1" x14ac:dyDescent="0.2">
      <c r="A481" s="409"/>
      <c r="B481" s="409"/>
      <c r="C481" s="409"/>
      <c r="D481" s="410" t="s">
        <v>195</v>
      </c>
      <c r="E481" s="411">
        <v>45945</v>
      </c>
      <c r="F481" s="418">
        <v>6.1249999999999999E-2</v>
      </c>
      <c r="G481" s="413">
        <v>5.2812499999999998E-2</v>
      </c>
      <c r="H481" s="413">
        <v>5.5312500000000001E-2</v>
      </c>
      <c r="I481" s="413">
        <v>5.4530799999999997E-2</v>
      </c>
      <c r="J481" s="419">
        <v>5.5E-2</v>
      </c>
      <c r="K481" s="444">
        <v>2881000</v>
      </c>
      <c r="L481" s="415">
        <v>2850000</v>
      </c>
      <c r="M481" s="318">
        <f t="shared" si="59"/>
        <v>1.010877192982456</v>
      </c>
    </row>
    <row r="482" spans="1:13" s="249" customFormat="1" ht="13.5" customHeight="1" outlineLevel="1" x14ac:dyDescent="0.2">
      <c r="A482" s="420"/>
      <c r="B482" s="420"/>
      <c r="C482" s="420"/>
      <c r="D482" s="421" t="s">
        <v>221</v>
      </c>
      <c r="E482" s="422">
        <v>53615</v>
      </c>
      <c r="F482" s="423">
        <v>7.7499999999999999E-2</v>
      </c>
      <c r="G482" s="424">
        <v>7.1874999999999994E-2</v>
      </c>
      <c r="H482" s="424">
        <v>7.4062500000000003E-2</v>
      </c>
      <c r="I482" s="424">
        <v>7.2231299999999998E-2</v>
      </c>
      <c r="J482" s="425">
        <v>7.2499999999999995E-2</v>
      </c>
      <c r="K482" s="445">
        <v>13105500</v>
      </c>
      <c r="L482" s="426">
        <v>4350000</v>
      </c>
      <c r="M482" s="318">
        <f t="shared" si="59"/>
        <v>3.0127586206896551</v>
      </c>
    </row>
    <row r="483" spans="1:13" s="180" customFormat="1" ht="13.5" customHeight="1" x14ac:dyDescent="0.2">
      <c r="A483" s="471" t="s">
        <v>121</v>
      </c>
      <c r="B483" s="472"/>
      <c r="C483" s="472"/>
      <c r="D483" s="472"/>
      <c r="E483" s="472"/>
      <c r="F483" s="472"/>
      <c r="G483" s="472"/>
      <c r="H483" s="472"/>
      <c r="I483" s="472"/>
      <c r="J483" s="473"/>
      <c r="K483" s="434">
        <f>SUM(K478:K482)</f>
        <v>24938500</v>
      </c>
      <c r="L483" s="434">
        <f>SUM(L478:L482)</f>
        <v>10000000</v>
      </c>
      <c r="M483" s="430"/>
    </row>
    <row r="484" spans="1:13" s="180" customFormat="1" ht="12.75" customHeight="1" x14ac:dyDescent="0.2">
      <c r="A484" s="489" t="s">
        <v>296</v>
      </c>
      <c r="B484" s="489"/>
      <c r="C484" s="489"/>
      <c r="D484" s="489"/>
      <c r="E484" s="489"/>
      <c r="F484" s="489"/>
      <c r="G484" s="489"/>
      <c r="H484" s="489"/>
      <c r="I484" s="489"/>
      <c r="J484" s="489"/>
      <c r="K484" s="315">
        <f>SUM(K438,K441,K449,K455,K460,K468,K470,K475,K477,K483)</f>
        <v>287919212</v>
      </c>
      <c r="L484" s="315">
        <f>SUM(L438,L441,L449,L455,L460,L468,L470,L475,L477,L483)</f>
        <v>134944912</v>
      </c>
      <c r="M484" s="181"/>
    </row>
    <row r="485" spans="1:13" s="180" customFormat="1" ht="12.75" customHeight="1" x14ac:dyDescent="0.2">
      <c r="A485" s="468" t="s">
        <v>311</v>
      </c>
      <c r="B485" s="469"/>
      <c r="C485" s="469"/>
      <c r="D485" s="469"/>
      <c r="E485" s="469"/>
      <c r="F485" s="469"/>
      <c r="G485" s="469"/>
      <c r="H485" s="469"/>
      <c r="I485" s="469"/>
      <c r="J485" s="470"/>
      <c r="K485" s="315">
        <f>SUM(K432,K484)</f>
        <v>3252065356</v>
      </c>
      <c r="L485" s="315">
        <f>SUM(L432,L484)</f>
        <v>1388943456</v>
      </c>
      <c r="M485" s="181"/>
    </row>
    <row r="486" spans="1:13" s="71" customFormat="1" ht="12.75" customHeight="1" outlineLevel="1" x14ac:dyDescent="0.2">
      <c r="A486" s="178">
        <v>44165</v>
      </c>
      <c r="B486" s="301">
        <v>44167</v>
      </c>
      <c r="C486" s="221" t="s">
        <v>149</v>
      </c>
      <c r="D486" s="222" t="s">
        <v>312</v>
      </c>
      <c r="E486" s="301">
        <v>44875</v>
      </c>
      <c r="F486" s="304">
        <v>5.5E-2</v>
      </c>
      <c r="G486" s="304"/>
      <c r="H486" s="304"/>
      <c r="I486" s="303"/>
      <c r="J486" s="303"/>
      <c r="K486" s="189">
        <v>5421257</v>
      </c>
      <c r="L486" s="189">
        <v>5421257</v>
      </c>
      <c r="M486" s="184">
        <f>IF(L486=0,0,K486/L486)</f>
        <v>1</v>
      </c>
    </row>
    <row r="487" spans="1:13" s="249" customFormat="1" ht="12.75" customHeight="1" outlineLevel="1" x14ac:dyDescent="0.2">
      <c r="A487" s="474" t="s">
        <v>121</v>
      </c>
      <c r="B487" s="475"/>
      <c r="C487" s="475"/>
      <c r="D487" s="475"/>
      <c r="E487" s="475"/>
      <c r="F487" s="475"/>
      <c r="G487" s="475"/>
      <c r="H487" s="475"/>
      <c r="I487" s="475"/>
      <c r="J487" s="476"/>
      <c r="K487" s="396">
        <f>SUM(K486)</f>
        <v>5421257</v>
      </c>
      <c r="L487" s="396">
        <f>SUM(L486)</f>
        <v>5421257</v>
      </c>
      <c r="M487" s="396"/>
    </row>
    <row r="488" spans="1:13" s="249" customFormat="1" ht="12.75" customHeight="1" outlineLevel="1" x14ac:dyDescent="0.2">
      <c r="A488" s="398">
        <v>44166</v>
      </c>
      <c r="B488" s="398">
        <v>44168</v>
      </c>
      <c r="C488" s="241" t="s">
        <v>145</v>
      </c>
      <c r="D488" s="308" t="s">
        <v>164</v>
      </c>
      <c r="E488" s="309">
        <v>44259</v>
      </c>
      <c r="F488" s="317" t="s">
        <v>128</v>
      </c>
      <c r="G488" s="320">
        <v>2.9499999999999998E-2</v>
      </c>
      <c r="H488" s="320">
        <v>3.0499999999999999E-2</v>
      </c>
      <c r="I488" s="274" t="s">
        <v>130</v>
      </c>
      <c r="J488" s="274" t="s">
        <v>130</v>
      </c>
      <c r="K488" s="247">
        <v>1340000</v>
      </c>
      <c r="L488" s="247">
        <v>0</v>
      </c>
      <c r="M488" s="318">
        <f t="shared" ref="M488:M494" si="60">IF(L488=0,0,K488/L488)</f>
        <v>0</v>
      </c>
    </row>
    <row r="489" spans="1:13" s="253" customFormat="1" ht="12.75" customHeight="1" outlineLevel="1" x14ac:dyDescent="0.2">
      <c r="A489" s="250"/>
      <c r="B489" s="250"/>
      <c r="C489" s="458"/>
      <c r="D489" s="308" t="s">
        <v>313</v>
      </c>
      <c r="E489" s="309">
        <v>44532</v>
      </c>
      <c r="F489" s="317" t="s">
        <v>128</v>
      </c>
      <c r="G489" s="245">
        <v>3.1899999999999998E-2</v>
      </c>
      <c r="H489" s="245">
        <v>3.3500000000000002E-2</v>
      </c>
      <c r="I489" s="246">
        <v>3.1962499999999998E-2</v>
      </c>
      <c r="J489" s="246">
        <v>3.2000000000000001E-2</v>
      </c>
      <c r="K489" s="247">
        <v>1460000</v>
      </c>
      <c r="L489" s="247">
        <v>800000</v>
      </c>
      <c r="M489" s="318">
        <f t="shared" si="60"/>
        <v>1.825</v>
      </c>
    </row>
    <row r="490" spans="1:13" s="253" customFormat="1" ht="12.75" customHeight="1" outlineLevel="1" x14ac:dyDescent="0.2">
      <c r="A490" s="250"/>
      <c r="B490" s="250"/>
      <c r="C490" s="458"/>
      <c r="D490" s="308" t="s">
        <v>257</v>
      </c>
      <c r="E490" s="309">
        <v>46127</v>
      </c>
      <c r="F490" s="310">
        <v>5.5E-2</v>
      </c>
      <c r="G490" s="245">
        <v>5.0500000000000003E-2</v>
      </c>
      <c r="H490" s="245">
        <v>5.8000000000000003E-2</v>
      </c>
      <c r="I490" s="246">
        <v>5.0676800000000001E-2</v>
      </c>
      <c r="J490" s="246">
        <v>5.0799999999999998E-2</v>
      </c>
      <c r="K490" s="319">
        <v>11749300</v>
      </c>
      <c r="L490" s="319">
        <v>4750000</v>
      </c>
      <c r="M490" s="318">
        <f t="shared" si="60"/>
        <v>2.473536842105263</v>
      </c>
    </row>
    <row r="491" spans="1:13" s="253" customFormat="1" ht="12.75" customHeight="1" outlineLevel="1" x14ac:dyDescent="0.2">
      <c r="A491" s="250"/>
      <c r="B491" s="250"/>
      <c r="C491" s="458"/>
      <c r="D491" s="308" t="s">
        <v>258</v>
      </c>
      <c r="E491" s="309">
        <v>47894</v>
      </c>
      <c r="F491" s="310">
        <v>6.5000000000000002E-2</v>
      </c>
      <c r="G491" s="245">
        <v>6.0499999999999998E-2</v>
      </c>
      <c r="H491" s="245">
        <v>6.1499999999999999E-2</v>
      </c>
      <c r="I491" s="246">
        <v>6.0765589600000003E-2</v>
      </c>
      <c r="J491" s="246">
        <v>6.08E-2</v>
      </c>
      <c r="K491" s="319">
        <v>23230600</v>
      </c>
      <c r="L491" s="319">
        <v>7950000</v>
      </c>
      <c r="M491" s="318">
        <f t="shared" si="60"/>
        <v>2.9220880503144655</v>
      </c>
    </row>
    <row r="492" spans="1:13" s="253" customFormat="1" ht="12.75" customHeight="1" outlineLevel="1" x14ac:dyDescent="0.2">
      <c r="A492" s="250"/>
      <c r="B492" s="250"/>
      <c r="C492" s="458"/>
      <c r="D492" s="308" t="s">
        <v>136</v>
      </c>
      <c r="E492" s="309">
        <v>49475</v>
      </c>
      <c r="F492" s="310">
        <v>7.4999999999999997E-2</v>
      </c>
      <c r="G492" s="245">
        <v>6.6000000000000003E-2</v>
      </c>
      <c r="H492" s="245">
        <v>6.7299999999999999E-2</v>
      </c>
      <c r="I492" s="246">
        <v>6.6269300000000003E-2</v>
      </c>
      <c r="J492" s="246">
        <v>6.6299999999999998E-2</v>
      </c>
      <c r="K492" s="319">
        <v>19290300</v>
      </c>
      <c r="L492" s="319">
        <v>1600000</v>
      </c>
      <c r="M492" s="318">
        <f t="shared" si="60"/>
        <v>12.056437499999999</v>
      </c>
    </row>
    <row r="493" spans="1:13" s="253" customFormat="1" ht="12.75" customHeight="1" outlineLevel="1" x14ac:dyDescent="0.2">
      <c r="A493" s="250"/>
      <c r="B493" s="250"/>
      <c r="C493" s="458"/>
      <c r="D493" s="308" t="s">
        <v>144</v>
      </c>
      <c r="E493" s="309">
        <v>51241</v>
      </c>
      <c r="F493" s="310">
        <v>7.4999999999999997E-2</v>
      </c>
      <c r="G493" s="245">
        <v>6.8599999999999994E-2</v>
      </c>
      <c r="H493" s="245">
        <v>7.0099999999999996E-2</v>
      </c>
      <c r="I493" s="246">
        <v>7.8964099999999995E-2</v>
      </c>
      <c r="J493" s="246">
        <v>6.9000000000000006E-2</v>
      </c>
      <c r="K493" s="319">
        <v>22004300</v>
      </c>
      <c r="L493" s="319">
        <v>4650000</v>
      </c>
      <c r="M493" s="318">
        <f t="shared" si="60"/>
        <v>4.7321075268817205</v>
      </c>
    </row>
    <row r="494" spans="1:13" s="249" customFormat="1" ht="12.75" customHeight="1" outlineLevel="1" x14ac:dyDescent="0.2">
      <c r="A494" s="250"/>
      <c r="B494" s="250"/>
      <c r="C494" s="250"/>
      <c r="D494" s="311" t="s">
        <v>134</v>
      </c>
      <c r="E494" s="307">
        <v>54193</v>
      </c>
      <c r="F494" s="310">
        <v>7.3749999999999996E-2</v>
      </c>
      <c r="G494" s="312">
        <v>7.1199999999999999E-2</v>
      </c>
      <c r="H494" s="310">
        <v>7.2499999999999995E-2</v>
      </c>
      <c r="I494" s="246">
        <v>7.1399699999999997E-2</v>
      </c>
      <c r="J494" s="246">
        <v>7.1400000000000005E-2</v>
      </c>
      <c r="K494" s="319">
        <v>15234300</v>
      </c>
      <c r="L494" s="319">
        <v>5850000</v>
      </c>
      <c r="M494" s="318">
        <f t="shared" si="60"/>
        <v>2.6041538461538463</v>
      </c>
    </row>
    <row r="495" spans="1:13" s="249" customFormat="1" ht="12.75" customHeight="1" outlineLevel="1" x14ac:dyDescent="0.2">
      <c r="A495" s="474" t="s">
        <v>121</v>
      </c>
      <c r="B495" s="475"/>
      <c r="C495" s="475"/>
      <c r="D495" s="475"/>
      <c r="E495" s="475"/>
      <c r="F495" s="475"/>
      <c r="G495" s="475"/>
      <c r="H495" s="475"/>
      <c r="I495" s="475"/>
      <c r="J495" s="476"/>
      <c r="K495" s="396">
        <f>SUM(K488:K494)</f>
        <v>94308800</v>
      </c>
      <c r="L495" s="396">
        <f>SUM(L488:L494)</f>
        <v>25600000</v>
      </c>
      <c r="M495" s="396"/>
    </row>
    <row r="496" spans="1:13" s="249" customFormat="1" ht="13.5" customHeight="1" outlineLevel="1" x14ac:dyDescent="0.2">
      <c r="A496" s="398">
        <v>44173</v>
      </c>
      <c r="B496" s="398">
        <v>44176</v>
      </c>
      <c r="C496" s="399" t="s">
        <v>145</v>
      </c>
      <c r="D496" s="400" t="s">
        <v>320</v>
      </c>
      <c r="E496" s="401">
        <v>44327</v>
      </c>
      <c r="F496" s="402" t="s">
        <v>128</v>
      </c>
      <c r="G496" s="403">
        <v>2.9687499999999999E-2</v>
      </c>
      <c r="H496" s="403">
        <v>3.5000000000000003E-2</v>
      </c>
      <c r="I496" s="452">
        <v>2.99479E-2</v>
      </c>
      <c r="J496" s="454">
        <v>0.03</v>
      </c>
      <c r="K496" s="443">
        <v>620000</v>
      </c>
      <c r="L496" s="456">
        <v>240000</v>
      </c>
      <c r="M496" s="318">
        <f t="shared" ref="M496:M500" si="61">IF(L496=0,0,K496/L496)</f>
        <v>2.5833333333333335</v>
      </c>
    </row>
    <row r="497" spans="1:13" s="249" customFormat="1" ht="13.5" customHeight="1" outlineLevel="1" x14ac:dyDescent="0.2">
      <c r="A497" s="409"/>
      <c r="B497" s="409"/>
      <c r="C497" s="409"/>
      <c r="D497" s="410" t="s">
        <v>196</v>
      </c>
      <c r="E497" s="411">
        <v>45061</v>
      </c>
      <c r="F497" s="412">
        <v>6.5000000000000002E-2</v>
      </c>
      <c r="G497" s="413">
        <v>4.3749999999999997E-2</v>
      </c>
      <c r="H497" s="413">
        <v>4.5312499999999999E-2</v>
      </c>
      <c r="I497" s="453" t="s">
        <v>130</v>
      </c>
      <c r="J497" s="455" t="s">
        <v>130</v>
      </c>
      <c r="K497" s="444">
        <v>1605000</v>
      </c>
      <c r="L497" s="457" t="s">
        <v>130</v>
      </c>
      <c r="M497" s="299" t="s">
        <v>130</v>
      </c>
    </row>
    <row r="498" spans="1:13" s="249" customFormat="1" ht="13.5" customHeight="1" outlineLevel="1" x14ac:dyDescent="0.2">
      <c r="A498" s="409"/>
      <c r="B498" s="409"/>
      <c r="C498" s="409"/>
      <c r="D498" s="410" t="s">
        <v>147</v>
      </c>
      <c r="E498" s="411">
        <v>45580</v>
      </c>
      <c r="F498" s="412">
        <v>6.6250000000000003E-2</v>
      </c>
      <c r="G498" s="413">
        <v>4.9062500000000002E-2</v>
      </c>
      <c r="H498" s="417">
        <v>5.2499999999999998E-2</v>
      </c>
      <c r="I498" s="413">
        <v>4.9632700000000002E-2</v>
      </c>
      <c r="J498" s="414">
        <v>0.05</v>
      </c>
      <c r="K498" s="444">
        <v>2850000</v>
      </c>
      <c r="L498" s="415">
        <v>1650000</v>
      </c>
      <c r="M498" s="318">
        <f t="shared" si="61"/>
        <v>1.7272727272727273</v>
      </c>
    </row>
    <row r="499" spans="1:13" s="249" customFormat="1" ht="13.5" customHeight="1" outlineLevel="1" x14ac:dyDescent="0.2">
      <c r="A499" s="409"/>
      <c r="B499" s="409"/>
      <c r="C499" s="409"/>
      <c r="D499" s="410" t="s">
        <v>195</v>
      </c>
      <c r="E499" s="411">
        <v>45945</v>
      </c>
      <c r="F499" s="418">
        <v>6.1249999999999999E-2</v>
      </c>
      <c r="G499" s="413">
        <v>5.2499999999999998E-2</v>
      </c>
      <c r="H499" s="413">
        <v>5.5E-2</v>
      </c>
      <c r="I499" s="413">
        <v>5.2893500000000003E-2</v>
      </c>
      <c r="J499" s="419">
        <v>5.3124999999999999E-2</v>
      </c>
      <c r="K499" s="444">
        <v>6701000</v>
      </c>
      <c r="L499" s="415">
        <v>1350000</v>
      </c>
      <c r="M499" s="318">
        <f t="shared" si="61"/>
        <v>4.963703703703704</v>
      </c>
    </row>
    <row r="500" spans="1:13" s="249" customFormat="1" ht="13.5" customHeight="1" outlineLevel="1" x14ac:dyDescent="0.2">
      <c r="A500" s="420"/>
      <c r="B500" s="420"/>
      <c r="C500" s="420"/>
      <c r="D500" s="421" t="s">
        <v>221</v>
      </c>
      <c r="E500" s="422">
        <v>53615</v>
      </c>
      <c r="F500" s="423">
        <v>7.7499999999999999E-2</v>
      </c>
      <c r="G500" s="424">
        <v>7.0937500000000001E-2</v>
      </c>
      <c r="H500" s="424">
        <v>7.3124999999999996E-2</v>
      </c>
      <c r="I500" s="424">
        <v>7.1399000000000004E-2</v>
      </c>
      <c r="J500" s="425">
        <v>7.1562500000000001E-2</v>
      </c>
      <c r="K500" s="445">
        <v>15985000</v>
      </c>
      <c r="L500" s="426">
        <v>2900000</v>
      </c>
      <c r="M500" s="318">
        <f t="shared" si="61"/>
        <v>5.5120689655172415</v>
      </c>
    </row>
    <row r="501" spans="1:13" s="180" customFormat="1" ht="13.5" customHeight="1" x14ac:dyDescent="0.2">
      <c r="A501" s="471" t="s">
        <v>121</v>
      </c>
      <c r="B501" s="472"/>
      <c r="C501" s="472"/>
      <c r="D501" s="472"/>
      <c r="E501" s="472"/>
      <c r="F501" s="472"/>
      <c r="G501" s="472"/>
      <c r="H501" s="472"/>
      <c r="I501" s="472"/>
      <c r="J501" s="473"/>
      <c r="K501" s="434">
        <f>SUM(K496:K500)</f>
        <v>27761000</v>
      </c>
      <c r="L501" s="434">
        <f>SUM(L496:L500)</f>
        <v>6140000</v>
      </c>
      <c r="M501" s="430"/>
    </row>
    <row r="502" spans="1:13" s="253" customFormat="1" ht="17.25" customHeight="1" outlineLevel="1" x14ac:dyDescent="0.2">
      <c r="A502" s="307">
        <v>44175</v>
      </c>
      <c r="B502" s="307">
        <v>44179</v>
      </c>
      <c r="C502" s="241" t="s">
        <v>170</v>
      </c>
      <c r="D502" s="265" t="s">
        <v>315</v>
      </c>
      <c r="E502" s="266">
        <v>46005</v>
      </c>
      <c r="F502" s="503" t="s">
        <v>319</v>
      </c>
      <c r="G502" s="268" t="s">
        <v>130</v>
      </c>
      <c r="H502" s="268" t="s">
        <v>130</v>
      </c>
      <c r="I502" s="269">
        <v>1</v>
      </c>
      <c r="J502" s="268" t="s">
        <v>130</v>
      </c>
      <c r="K502" s="270">
        <v>25742500</v>
      </c>
      <c r="L502" s="270">
        <v>25742500</v>
      </c>
      <c r="M502" s="318">
        <f t="shared" ref="M502:M505" si="62">IF(L502=0,0,K502/L502)</f>
        <v>1</v>
      </c>
    </row>
    <row r="503" spans="1:13" s="253" customFormat="1" ht="16.5" customHeight="1" outlineLevel="1" x14ac:dyDescent="0.2">
      <c r="A503" s="250"/>
      <c r="B503" s="250"/>
      <c r="C503" s="459"/>
      <c r="D503" s="265" t="s">
        <v>316</v>
      </c>
      <c r="E503" s="266">
        <v>46370</v>
      </c>
      <c r="F503" s="503"/>
      <c r="G503" s="268" t="s">
        <v>130</v>
      </c>
      <c r="H503" s="268" t="s">
        <v>130</v>
      </c>
      <c r="I503" s="269">
        <v>1</v>
      </c>
      <c r="J503" s="268" t="s">
        <v>130</v>
      </c>
      <c r="K503" s="270">
        <v>25742500</v>
      </c>
      <c r="L503" s="270">
        <v>25742500</v>
      </c>
      <c r="M503" s="318">
        <f t="shared" si="62"/>
        <v>1</v>
      </c>
    </row>
    <row r="504" spans="1:13" s="272" customFormat="1" ht="17.25" customHeight="1" outlineLevel="1" x14ac:dyDescent="0.2">
      <c r="A504" s="263"/>
      <c r="B504" s="263"/>
      <c r="C504" s="264"/>
      <c r="D504" s="265" t="s">
        <v>317</v>
      </c>
      <c r="E504" s="266">
        <v>46735</v>
      </c>
      <c r="F504" s="503"/>
      <c r="G504" s="268" t="s">
        <v>130</v>
      </c>
      <c r="H504" s="268" t="s">
        <v>130</v>
      </c>
      <c r="I504" s="269">
        <v>1</v>
      </c>
      <c r="J504" s="268" t="s">
        <v>130</v>
      </c>
      <c r="K504" s="270">
        <v>25742500</v>
      </c>
      <c r="L504" s="270">
        <v>25742500</v>
      </c>
      <c r="M504" s="271">
        <f t="shared" si="62"/>
        <v>1</v>
      </c>
    </row>
    <row r="505" spans="1:13" s="272" customFormat="1" ht="15" customHeight="1" outlineLevel="1" x14ac:dyDescent="0.2">
      <c r="A505" s="263"/>
      <c r="B505" s="263"/>
      <c r="C505" s="264"/>
      <c r="D505" s="265" t="s">
        <v>318</v>
      </c>
      <c r="E505" s="266">
        <v>47101</v>
      </c>
      <c r="F505" s="503"/>
      <c r="G505" s="268" t="s">
        <v>130</v>
      </c>
      <c r="H505" s="268" t="s">
        <v>130</v>
      </c>
      <c r="I505" s="269">
        <v>1</v>
      </c>
      <c r="J505" s="268" t="s">
        <v>130</v>
      </c>
      <c r="K505" s="270">
        <v>23302500</v>
      </c>
      <c r="L505" s="270">
        <v>23302500</v>
      </c>
      <c r="M505" s="271">
        <f t="shared" si="62"/>
        <v>1</v>
      </c>
    </row>
    <row r="506" spans="1:13" s="249" customFormat="1" ht="12.75" customHeight="1" outlineLevel="1" x14ac:dyDescent="0.2">
      <c r="A506" s="474" t="s">
        <v>121</v>
      </c>
      <c r="B506" s="475"/>
      <c r="C506" s="475"/>
      <c r="D506" s="475"/>
      <c r="E506" s="475"/>
      <c r="F506" s="475"/>
      <c r="G506" s="475"/>
      <c r="H506" s="475"/>
      <c r="I506" s="475"/>
      <c r="J506" s="476"/>
      <c r="K506" s="396">
        <f>SUM(K502:K505)</f>
        <v>100530000</v>
      </c>
      <c r="L506" s="396">
        <f>SUM(L502:L505)</f>
        <v>100530000</v>
      </c>
      <c r="M506" s="396"/>
    </row>
    <row r="507" spans="1:13" s="253" customFormat="1" ht="17.25" customHeight="1" outlineLevel="1" x14ac:dyDescent="0.2">
      <c r="A507" s="307">
        <v>44186</v>
      </c>
      <c r="B507" s="307">
        <v>44193</v>
      </c>
      <c r="C507" s="241" t="s">
        <v>170</v>
      </c>
      <c r="D507" s="265" t="s">
        <v>137</v>
      </c>
      <c r="E507" s="266">
        <v>45823</v>
      </c>
      <c r="F507" s="460">
        <v>6.5000000000000002E-2</v>
      </c>
      <c r="G507" s="268" t="s">
        <v>130</v>
      </c>
      <c r="H507" s="268" t="s">
        <v>130</v>
      </c>
      <c r="I507" s="506">
        <v>5.1299999999999998E-2</v>
      </c>
      <c r="J507" s="268" t="s">
        <v>130</v>
      </c>
      <c r="K507" s="270">
        <v>4000000</v>
      </c>
      <c r="L507" s="270">
        <v>4000000</v>
      </c>
      <c r="M507" s="318">
        <f t="shared" ref="M507:M509" si="63">IF(L507=0,0,K507/L507)</f>
        <v>1</v>
      </c>
    </row>
    <row r="508" spans="1:13" s="253" customFormat="1" ht="16.5" customHeight="1" outlineLevel="1" x14ac:dyDescent="0.2">
      <c r="A508" s="250"/>
      <c r="B508" s="250"/>
      <c r="C508" s="461"/>
      <c r="D508" s="265" t="s">
        <v>95</v>
      </c>
      <c r="E508" s="266">
        <v>46888</v>
      </c>
      <c r="F508" s="460">
        <v>6.1249999999999999E-2</v>
      </c>
      <c r="G508" s="268" t="s">
        <v>130</v>
      </c>
      <c r="H508" s="268" t="s">
        <v>130</v>
      </c>
      <c r="I508" s="506">
        <v>5.7099999999999998E-2</v>
      </c>
      <c r="J508" s="268" t="s">
        <v>130</v>
      </c>
      <c r="K508" s="270">
        <v>2000000</v>
      </c>
      <c r="L508" s="270">
        <v>2000000</v>
      </c>
      <c r="M508" s="318">
        <f t="shared" si="63"/>
        <v>1</v>
      </c>
    </row>
    <row r="509" spans="1:13" s="272" customFormat="1" ht="15" customHeight="1" outlineLevel="1" x14ac:dyDescent="0.2">
      <c r="A509" s="263"/>
      <c r="B509" s="263"/>
      <c r="C509" s="264"/>
      <c r="D509" s="265" t="s">
        <v>138</v>
      </c>
      <c r="E509" s="266">
        <v>47741</v>
      </c>
      <c r="F509" s="460">
        <v>7.0000000000000007E-2</v>
      </c>
      <c r="G509" s="268" t="s">
        <v>130</v>
      </c>
      <c r="H509" s="268" t="s">
        <v>130</v>
      </c>
      <c r="I509" s="506">
        <v>5.9200000000000003E-2</v>
      </c>
      <c r="J509" s="268" t="s">
        <v>130</v>
      </c>
      <c r="K509" s="270">
        <v>1000000</v>
      </c>
      <c r="L509" s="270">
        <v>1000000</v>
      </c>
      <c r="M509" s="271">
        <f t="shared" si="63"/>
        <v>1</v>
      </c>
    </row>
    <row r="510" spans="1:13" s="249" customFormat="1" ht="12.75" customHeight="1" outlineLevel="1" x14ac:dyDescent="0.2">
      <c r="A510" s="474" t="s">
        <v>121</v>
      </c>
      <c r="B510" s="475"/>
      <c r="C510" s="475"/>
      <c r="D510" s="475"/>
      <c r="E510" s="475"/>
      <c r="F510" s="475"/>
      <c r="G510" s="475"/>
      <c r="H510" s="475"/>
      <c r="I510" s="475"/>
      <c r="J510" s="476"/>
      <c r="K510" s="396">
        <f>SUM(K507:K509)</f>
        <v>7000000</v>
      </c>
      <c r="L510" s="396">
        <f>SUM(L507:L509)</f>
        <v>7000000</v>
      </c>
      <c r="M510" s="396"/>
    </row>
    <row r="511" spans="1:13" s="180" customFormat="1" ht="12.75" customHeight="1" x14ac:dyDescent="0.2">
      <c r="A511" s="489" t="s">
        <v>314</v>
      </c>
      <c r="B511" s="489"/>
      <c r="C511" s="489"/>
      <c r="D511" s="489"/>
      <c r="E511" s="489"/>
      <c r="F511" s="489"/>
      <c r="G511" s="489"/>
      <c r="H511" s="489"/>
      <c r="I511" s="489"/>
      <c r="J511" s="489"/>
      <c r="K511" s="315">
        <f>SUM(K487,K495,K501,K506,K510)</f>
        <v>235021057</v>
      </c>
      <c r="L511" s="315">
        <f>SUM(L487,L495,L501,L506,L510)</f>
        <v>144691257</v>
      </c>
      <c r="M511" s="181"/>
    </row>
    <row r="512" spans="1:13" s="180" customFormat="1" ht="12.75" customHeight="1" x14ac:dyDescent="0.2">
      <c r="A512" s="468" t="s">
        <v>321</v>
      </c>
      <c r="B512" s="469"/>
      <c r="C512" s="469"/>
      <c r="D512" s="469"/>
      <c r="E512" s="469"/>
      <c r="F512" s="469"/>
      <c r="G512" s="469"/>
      <c r="H512" s="469"/>
      <c r="I512" s="469"/>
      <c r="J512" s="470"/>
      <c r="K512" s="315">
        <f>SUM(K485,K511)</f>
        <v>3487086413</v>
      </c>
      <c r="L512" s="315">
        <f>SUM(L485,L511)</f>
        <v>1533634713</v>
      </c>
      <c r="M512" s="181"/>
    </row>
  </sheetData>
  <mergeCells count="119">
    <mergeCell ref="A510:J510"/>
    <mergeCell ref="F502:F505"/>
    <mergeCell ref="A506:J506"/>
    <mergeCell ref="A511:J511"/>
    <mergeCell ref="A512:J512"/>
    <mergeCell ref="A495:J495"/>
    <mergeCell ref="A346:J346"/>
    <mergeCell ref="A367:J367"/>
    <mergeCell ref="A384:J384"/>
    <mergeCell ref="A432:J432"/>
    <mergeCell ref="A423:J423"/>
    <mergeCell ref="F424:F427"/>
    <mergeCell ref="A428:J428"/>
    <mergeCell ref="A455:J455"/>
    <mergeCell ref="A484:J484"/>
    <mergeCell ref="A396:J396"/>
    <mergeCell ref="A375:J375"/>
    <mergeCell ref="F405:F408"/>
    <mergeCell ref="A483:J483"/>
    <mergeCell ref="A477:J477"/>
    <mergeCell ref="A487:J487"/>
    <mergeCell ref="F471:F474"/>
    <mergeCell ref="A475:J475"/>
    <mergeCell ref="F456:F459"/>
    <mergeCell ref="A460:J460"/>
    <mergeCell ref="A438:J438"/>
    <mergeCell ref="A485:J485"/>
    <mergeCell ref="A430:J430"/>
    <mergeCell ref="A415:J415"/>
    <mergeCell ref="A302:J302"/>
    <mergeCell ref="A303:J303"/>
    <mergeCell ref="A322:J322"/>
    <mergeCell ref="A330:J330"/>
    <mergeCell ref="A340:J340"/>
    <mergeCell ref="A309:J309"/>
    <mergeCell ref="A332:J332"/>
    <mergeCell ref="A324:J324"/>
    <mergeCell ref="A314:J314"/>
    <mergeCell ref="F310:F313"/>
    <mergeCell ref="F376:F379"/>
    <mergeCell ref="A380:J380"/>
    <mergeCell ref="A404:J404"/>
    <mergeCell ref="F341:F344"/>
    <mergeCell ref="A345:J345"/>
    <mergeCell ref="A361:J361"/>
    <mergeCell ref="A353:J353"/>
    <mergeCell ref="A383:J383"/>
    <mergeCell ref="A347:J347"/>
    <mergeCell ref="A382:J382"/>
    <mergeCell ref="A409:J409"/>
    <mergeCell ref="A391:J391"/>
    <mergeCell ref="L2:M2"/>
    <mergeCell ref="A11:J11"/>
    <mergeCell ref="A18:J18"/>
    <mergeCell ref="A23:J23"/>
    <mergeCell ref="A85:J85"/>
    <mergeCell ref="A77:J77"/>
    <mergeCell ref="A80:J80"/>
    <mergeCell ref="A37:J37"/>
    <mergeCell ref="A62:J62"/>
    <mergeCell ref="A52:J52"/>
    <mergeCell ref="A54:J54"/>
    <mergeCell ref="A31:J31"/>
    <mergeCell ref="A67:J67"/>
    <mergeCell ref="A47:J47"/>
    <mergeCell ref="A69:J69"/>
    <mergeCell ref="A68:J68"/>
    <mergeCell ref="A38:J38"/>
    <mergeCell ref="A39:J39"/>
    <mergeCell ref="A217:J217"/>
    <mergeCell ref="A192:J192"/>
    <mergeCell ref="A200:J200"/>
    <mergeCell ref="A208:J208"/>
    <mergeCell ref="A259:J259"/>
    <mergeCell ref="A239:J239"/>
    <mergeCell ref="A301:J301"/>
    <mergeCell ref="A247:J247"/>
    <mergeCell ref="A248:J248"/>
    <mergeCell ref="A246:J246"/>
    <mergeCell ref="A256:J256"/>
    <mergeCell ref="A287:J287"/>
    <mergeCell ref="A279:J279"/>
    <mergeCell ref="A277:J277"/>
    <mergeCell ref="A293:J293"/>
    <mergeCell ref="A270:J270"/>
    <mergeCell ref="A165:J165"/>
    <mergeCell ref="A175:J175"/>
    <mergeCell ref="A177:J177"/>
    <mergeCell ref="A183:J183"/>
    <mergeCell ref="A171:J171"/>
    <mergeCell ref="A166:J166"/>
    <mergeCell ref="A167:J167"/>
    <mergeCell ref="A232:J232"/>
    <mergeCell ref="A224:J224"/>
    <mergeCell ref="A207:J207"/>
    <mergeCell ref="A470:J470"/>
    <mergeCell ref="A501:J501"/>
    <mergeCell ref="A209:J209"/>
    <mergeCell ref="A468:J468"/>
    <mergeCell ref="A124:J124"/>
    <mergeCell ref="A87:J87"/>
    <mergeCell ref="A117:J117"/>
    <mergeCell ref="A107:J107"/>
    <mergeCell ref="A108:J108"/>
    <mergeCell ref="A109:J109"/>
    <mergeCell ref="A105:J105"/>
    <mergeCell ref="A99:J99"/>
    <mergeCell ref="A89:J89"/>
    <mergeCell ref="A97:J97"/>
    <mergeCell ref="A189:J189"/>
    <mergeCell ref="A139:J139"/>
    <mergeCell ref="A131:J131"/>
    <mergeCell ref="A146:J146"/>
    <mergeCell ref="A151:J151"/>
    <mergeCell ref="A186:J186"/>
    <mergeCell ref="A449:J449"/>
    <mergeCell ref="A441:J441"/>
    <mergeCell ref="A431:J431"/>
    <mergeCell ref="A159:J159"/>
  </mergeCells>
  <phoneticPr fontId="0" type="noConversion"/>
  <printOptions horizontalCentered="1"/>
  <pageMargins left="0" right="0" top="0.39370078740157499" bottom="0" header="0.15748031496063" footer="0.196850393700787"/>
  <pageSetup paperSize="9" scale="41" orientation="landscape" r:id="rId1"/>
  <headerFooter alignWithMargins="0">
    <oddFooter>Page &amp;P of &amp;N</oddFooter>
  </headerFooter>
  <rowBreaks count="1" manualBreakCount="1">
    <brk id="99" max="16383" man="1"/>
  </rowBreaks>
  <ignoredErrors>
    <ignoredError sqref="K10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7"/>
  <sheetViews>
    <sheetView workbookViewId="0">
      <selection activeCell="K3" sqref="K3:L7"/>
    </sheetView>
  </sheetViews>
  <sheetFormatPr defaultRowHeight="12.75" x14ac:dyDescent="0.2"/>
  <cols>
    <col min="4" max="4" width="12.85546875" bestFit="1" customWidth="1"/>
    <col min="5" max="5" width="9.7109375" bestFit="1" customWidth="1"/>
    <col min="6" max="12" width="6.28515625" bestFit="1" customWidth="1"/>
    <col min="13" max="13" width="17.5703125" bestFit="1" customWidth="1"/>
    <col min="14" max="16" width="16.42578125" bestFit="1" customWidth="1"/>
  </cols>
  <sheetData>
    <row r="3" spans="2:16" x14ac:dyDescent="0.2">
      <c r="B3" s="186">
        <v>43053</v>
      </c>
      <c r="C3" s="186">
        <v>43055</v>
      </c>
      <c r="D3" t="s">
        <v>132</v>
      </c>
      <c r="E3" s="186">
        <v>43146</v>
      </c>
      <c r="F3" t="s">
        <v>130</v>
      </c>
      <c r="G3" s="187">
        <v>4.7500000000000001E-2</v>
      </c>
      <c r="H3" s="187">
        <v>4.87813E-2</v>
      </c>
      <c r="I3" s="187">
        <v>5.1999999999999998E-2</v>
      </c>
      <c r="J3" s="187">
        <v>4.7500000000000001E-2</v>
      </c>
      <c r="K3" s="187">
        <v>4.8269199999999998E-2</v>
      </c>
      <c r="L3" s="187">
        <v>4.8800000000000003E-2</v>
      </c>
      <c r="M3" s="188">
        <v>15000000000000</v>
      </c>
      <c r="N3" s="188">
        <v>3900000000000</v>
      </c>
      <c r="O3" s="188">
        <v>2600000000000</v>
      </c>
      <c r="P3" s="188">
        <v>2600000000000</v>
      </c>
    </row>
    <row r="4" spans="2:16" x14ac:dyDescent="0.2">
      <c r="C4" s="186">
        <v>43055</v>
      </c>
      <c r="D4" t="s">
        <v>133</v>
      </c>
      <c r="E4" s="186">
        <v>43419</v>
      </c>
      <c r="F4" t="s">
        <v>130</v>
      </c>
      <c r="G4" s="187">
        <v>5.1900000000000002E-2</v>
      </c>
      <c r="H4" s="187">
        <v>5.3297200000000003E-2</v>
      </c>
      <c r="I4" s="187">
        <v>5.5500000000000001E-2</v>
      </c>
      <c r="J4" s="187">
        <v>5.1900000000000002E-2</v>
      </c>
      <c r="K4" s="187">
        <v>5.253E-2</v>
      </c>
      <c r="L4" s="187">
        <v>5.3199999999999997E-2</v>
      </c>
      <c r="N4" s="188">
        <v>6000000000000</v>
      </c>
      <c r="O4" s="188">
        <v>5200000000000</v>
      </c>
      <c r="P4" s="188">
        <v>3000000000000</v>
      </c>
    </row>
    <row r="5" spans="2:16" x14ac:dyDescent="0.2">
      <c r="C5" s="186">
        <v>43055</v>
      </c>
      <c r="D5" t="s">
        <v>35</v>
      </c>
      <c r="E5" s="186">
        <v>44696</v>
      </c>
      <c r="F5" s="187">
        <v>7.0000000000000007E-2</v>
      </c>
      <c r="G5" s="187">
        <v>6.2700000000000006E-2</v>
      </c>
      <c r="H5" s="187">
        <v>6.3400300000000007E-2</v>
      </c>
      <c r="I5" s="187">
        <v>6.5000000000000002E-2</v>
      </c>
      <c r="J5" s="187">
        <v>6.2700000000000006E-2</v>
      </c>
      <c r="K5" s="187">
        <v>6.2915700000000005E-2</v>
      </c>
      <c r="L5" s="187">
        <v>6.3E-2</v>
      </c>
      <c r="N5" s="188">
        <v>9775500000000</v>
      </c>
      <c r="O5" s="188">
        <v>4250000000000</v>
      </c>
      <c r="P5" s="188">
        <v>2800000000000</v>
      </c>
    </row>
    <row r="6" spans="2:16" x14ac:dyDescent="0.2">
      <c r="C6" s="186">
        <v>43055</v>
      </c>
      <c r="D6" t="s">
        <v>43</v>
      </c>
      <c r="E6" s="186">
        <v>46522</v>
      </c>
      <c r="F6" s="187">
        <v>7.0000000000000007E-2</v>
      </c>
      <c r="G6" s="187">
        <v>6.5699999999999995E-2</v>
      </c>
      <c r="H6" s="187">
        <v>6.6803500000000002E-2</v>
      </c>
      <c r="I6" s="187">
        <v>6.8599999999999994E-2</v>
      </c>
      <c r="J6" s="187">
        <v>6.5699999999999995E-2</v>
      </c>
      <c r="K6" s="187">
        <v>6.6193399999999999E-2</v>
      </c>
      <c r="L6" s="187">
        <v>6.6500000000000004E-2</v>
      </c>
      <c r="N6" s="188">
        <v>9487500000000</v>
      </c>
      <c r="O6" s="188">
        <v>7150000000000</v>
      </c>
      <c r="P6" s="188">
        <v>4550000000000</v>
      </c>
    </row>
    <row r="7" spans="2:16" x14ac:dyDescent="0.2">
      <c r="C7" s="186">
        <v>43055</v>
      </c>
      <c r="D7" t="s">
        <v>131</v>
      </c>
      <c r="E7" s="186">
        <v>50540</v>
      </c>
      <c r="F7" s="187">
        <v>7.4999999999999997E-2</v>
      </c>
      <c r="G7" s="187">
        <v>7.2400000000000006E-2</v>
      </c>
      <c r="H7" s="187">
        <v>7.2925400000000001E-2</v>
      </c>
      <c r="I7" s="187">
        <v>7.4499999999999997E-2</v>
      </c>
      <c r="J7" s="187">
        <v>7.2400000000000006E-2</v>
      </c>
      <c r="K7" s="187">
        <v>7.2629799999999994E-2</v>
      </c>
      <c r="L7" s="187">
        <v>7.2999999999999995E-2</v>
      </c>
      <c r="N7" s="188">
        <v>9760500000000</v>
      </c>
      <c r="O7" s="188">
        <v>7300000000000</v>
      </c>
      <c r="P7" s="188">
        <v>6450000000000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Contoh_SBN</vt:lpstr>
      <vt:lpstr>SBN</vt:lpstr>
      <vt:lpstr>Sheet1</vt:lpstr>
      <vt:lpstr>Contoh_SBN!Print_Area</vt:lpstr>
      <vt:lpstr>Contoh_SBN!Print_Titles</vt:lpstr>
      <vt:lpstr>SBN!Print_Titles</vt:lpstr>
    </vt:vector>
  </TitlesOfParts>
  <Company>dmo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DMO</dc:creator>
  <cp:lastModifiedBy>Advianto Maringgih</cp:lastModifiedBy>
  <cp:lastPrinted>2020-03-18T18:47:42Z</cp:lastPrinted>
  <dcterms:created xsi:type="dcterms:W3CDTF">2010-01-14T01:56:27Z</dcterms:created>
  <dcterms:modified xsi:type="dcterms:W3CDTF">2020-12-30T15:58:53Z</dcterms:modified>
</cp:coreProperties>
</file>