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EAB3E206-8263-4805-B098-E9F631D3BAB6}" xr6:coauthVersionLast="47" xr6:coauthVersionMax="47" xr10:uidLastSave="{00000000-0000-0000-0000-000000000000}"/>
  <bookViews>
    <workbookView xWindow="-110" yWindow="-110" windowWidth="19420" windowHeight="10300" tabRatio="715" firstSheet="1" activeTab="1" xr2:uid="{00000000-000D-0000-FFFF-FFFF00000000}"/>
  </bookViews>
  <sheets>
    <sheet name="Contoh_SBN" sheetId="5" state="hidden" r:id="rId1"/>
    <sheet name="SBN" sheetId="1" r:id="rId2"/>
    <sheet name="Sheet1" sheetId="6" state="hidden" r:id="rId3"/>
  </sheets>
  <externalReferences>
    <externalReference r:id="rId4"/>
    <externalReference r:id="rId5"/>
    <externalReference r:id="rId6"/>
  </externalReferences>
  <definedNames>
    <definedName name="aa">#REF!</definedName>
    <definedName name="abc">[1]SummBB!#REF!</definedName>
    <definedName name="abcd">#REF!</definedName>
    <definedName name="ac">#REF!</definedName>
    <definedName name="ad">#REF!</definedName>
    <definedName name="ak">#REF!</definedName>
    <definedName name="am">#REF!</definedName>
    <definedName name="as">#REF!</definedName>
    <definedName name="az">#REF!</definedName>
    <definedName name="Bondata">'[2]Bond Data'!$A$4:$C$28</definedName>
    <definedName name="BondData">'[3]Bond Data'!$A$4:$C$28</definedName>
    <definedName name="hg">#REF!</definedName>
    <definedName name="k">[1]SummBB!#REF!</definedName>
    <definedName name="ki">#REF!</definedName>
    <definedName name="kl">#REF!</definedName>
    <definedName name="ni">#REF!</definedName>
    <definedName name="oi">#REF!</definedName>
    <definedName name="oke">#REF!</definedName>
    <definedName name="ol">#REF!</definedName>
    <definedName name="pp">[1]SummBB!#REF!</definedName>
    <definedName name="_xlnm.Print_Area" localSheetId="0">Contoh_SBN!$A$1:$Q$250</definedName>
    <definedName name="_xlnm.Print_Titles" localSheetId="0">Contoh_SBN!$1:$3</definedName>
    <definedName name="_xlnm.Print_Titles" localSheetId="1">SBN!$1:$3</definedName>
    <definedName name="Skenario_2_a_L" localSheetId="0">[1]SummBB!#REF!</definedName>
    <definedName name="Skenario_2_a_L">[1]SummBB!#REF!</definedName>
    <definedName name="Skenario_2_a_P" localSheetId="0">[1]SummBB!#REF!</definedName>
    <definedName name="Skenario_2_a_P">[1]SummBB!#REF!</definedName>
    <definedName name="th_2003" localSheetId="0">#REF!</definedName>
    <definedName name="th_2003">#REF!</definedName>
    <definedName name="th_2004" localSheetId="0">#REF!</definedName>
    <definedName name="th_2004">#REF!</definedName>
    <definedName name="th_2005" localSheetId="0">#REF!</definedName>
    <definedName name="th_2005">#REF!</definedName>
    <definedName name="th_2006" localSheetId="0">#REF!</definedName>
    <definedName name="th_2006">#REF!</definedName>
    <definedName name="u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3" i="1" l="1"/>
  <c r="L262" i="1"/>
  <c r="K262" i="1"/>
  <c r="L261" i="1"/>
  <c r="K261" i="1"/>
  <c r="M260" i="1"/>
  <c r="M259" i="1"/>
  <c r="M258" i="1"/>
  <c r="M257" i="1"/>
  <c r="M256" i="1"/>
  <c r="M255" i="1"/>
  <c r="M254" i="1"/>
  <c r="L245" i="1"/>
  <c r="K245" i="1"/>
  <c r="M244" i="1"/>
  <c r="M243" i="1"/>
  <c r="M221" i="1"/>
  <c r="M220" i="1"/>
  <c r="L223" i="1"/>
  <c r="K223" i="1"/>
  <c r="M222" i="1"/>
  <c r="M219" i="1"/>
  <c r="M218" i="1"/>
  <c r="M217" i="1"/>
  <c r="M216" i="1"/>
  <c r="K214" i="1"/>
  <c r="K212" i="1"/>
  <c r="K210" i="1"/>
  <c r="K208" i="1"/>
  <c r="K206" i="1"/>
  <c r="K204" i="1"/>
  <c r="K202" i="1"/>
  <c r="K215" i="1" l="1"/>
  <c r="L214" i="1"/>
  <c r="L208" i="1"/>
  <c r="L212" i="1"/>
  <c r="L210" i="1"/>
  <c r="L206" i="1"/>
  <c r="L204" i="1"/>
  <c r="L202" i="1"/>
  <c r="L213" i="1"/>
  <c r="L211" i="1"/>
  <c r="L209" i="1"/>
  <c r="L207" i="1"/>
  <c r="L205" i="1"/>
  <c r="L203" i="1"/>
  <c r="L201" i="1"/>
  <c r="L215" i="1" l="1"/>
  <c r="M214" i="1"/>
  <c r="M210" i="1"/>
  <c r="M212" i="1" l="1"/>
  <c r="M206" i="1"/>
  <c r="M202" i="1"/>
  <c r="M204" i="1"/>
  <c r="M208" i="1"/>
  <c r="L253" i="1" l="1"/>
  <c r="K253" i="1"/>
  <c r="M252" i="1"/>
  <c r="M251" i="1"/>
  <c r="M250" i="1"/>
  <c r="M249" i="1"/>
  <c r="M248" i="1"/>
  <c r="M247" i="1"/>
  <c r="M246" i="1"/>
  <c r="L242" i="1" l="1"/>
  <c r="K242" i="1"/>
  <c r="M241" i="1"/>
  <c r="M240" i="1"/>
  <c r="M239" i="1"/>
  <c r="M238" i="1"/>
  <c r="M237" i="1"/>
  <c r="M236" i="1"/>
  <c r="M235" i="1"/>
  <c r="M227" i="1"/>
  <c r="L232" i="1"/>
  <c r="K232" i="1"/>
  <c r="M231" i="1"/>
  <c r="M230" i="1"/>
  <c r="M229" i="1"/>
  <c r="M228" i="1"/>
  <c r="M226" i="1"/>
  <c r="M225" i="1"/>
  <c r="M224" i="1"/>
  <c r="L200" i="1"/>
  <c r="K200" i="1"/>
  <c r="M199" i="1"/>
  <c r="M198" i="1"/>
  <c r="M197" i="1"/>
  <c r="M196" i="1"/>
  <c r="M195" i="1"/>
  <c r="M194" i="1"/>
  <c r="M193" i="1"/>
  <c r="L192" i="1"/>
  <c r="K192" i="1"/>
  <c r="M191" i="1"/>
  <c r="M190" i="1"/>
  <c r="M189" i="1"/>
  <c r="M188" i="1"/>
  <c r="M187" i="1"/>
  <c r="M186" i="1"/>
  <c r="M185" i="1"/>
  <c r="L184" i="1"/>
  <c r="K184" i="1"/>
  <c r="M183" i="1"/>
  <c r="M182" i="1"/>
  <c r="M181" i="1"/>
  <c r="M180" i="1"/>
  <c r="M179" i="1"/>
  <c r="M178" i="1"/>
  <c r="M177" i="1"/>
  <c r="L174" i="1"/>
  <c r="K174" i="1"/>
  <c r="M173" i="1"/>
  <c r="M172" i="1"/>
  <c r="M171" i="1"/>
  <c r="M170" i="1"/>
  <c r="M169" i="1"/>
  <c r="M168" i="1"/>
  <c r="M167" i="1"/>
  <c r="L166" i="1"/>
  <c r="K166" i="1"/>
  <c r="M165" i="1"/>
  <c r="M164" i="1"/>
  <c r="M163" i="1"/>
  <c r="M162" i="1"/>
  <c r="M161" i="1"/>
  <c r="M160" i="1"/>
  <c r="M159" i="1"/>
  <c r="L158" i="1"/>
  <c r="K158" i="1"/>
  <c r="M157" i="1"/>
  <c r="M156" i="1"/>
  <c r="L153" i="1"/>
  <c r="K153" i="1"/>
  <c r="M152" i="1"/>
  <c r="M151" i="1"/>
  <c r="M150" i="1"/>
  <c r="M149" i="1"/>
  <c r="M148" i="1"/>
  <c r="M147" i="1"/>
  <c r="M146" i="1"/>
  <c r="L145" i="1"/>
  <c r="K145" i="1"/>
  <c r="M144" i="1"/>
  <c r="M143" i="1"/>
  <c r="M142" i="1"/>
  <c r="M141" i="1"/>
  <c r="M140" i="1"/>
  <c r="M139" i="1"/>
  <c r="M138" i="1"/>
  <c r="L137" i="1"/>
  <c r="K137" i="1"/>
  <c r="M136" i="1"/>
  <c r="M135" i="1"/>
  <c r="M134" i="1"/>
  <c r="M133" i="1"/>
  <c r="M132" i="1"/>
  <c r="M131" i="1"/>
  <c r="M130" i="1"/>
  <c r="K129" i="1"/>
  <c r="L119" i="1"/>
  <c r="K119" i="1"/>
  <c r="L129" i="1"/>
  <c r="M128" i="1"/>
  <c r="M127" i="1"/>
  <c r="M126" i="1"/>
  <c r="M125" i="1"/>
  <c r="M124" i="1"/>
  <c r="M123" i="1"/>
  <c r="M122" i="1"/>
  <c r="L110" i="1"/>
  <c r="M110" i="1" s="1"/>
  <c r="L109" i="1"/>
  <c r="M109" i="1" s="1"/>
  <c r="K111" i="1"/>
  <c r="K233" i="1" l="1"/>
  <c r="L233" i="1"/>
  <c r="L175" i="1"/>
  <c r="K175" i="1"/>
  <c r="K154" i="1"/>
  <c r="L154" i="1"/>
  <c r="L111" i="1"/>
  <c r="M118" i="1"/>
  <c r="M117" i="1"/>
  <c r="M116" i="1"/>
  <c r="M115" i="1"/>
  <c r="M114" i="1"/>
  <c r="M113" i="1"/>
  <c r="M112" i="1"/>
  <c r="L108" i="1"/>
  <c r="K108" i="1"/>
  <c r="M107" i="1"/>
  <c r="M106" i="1"/>
  <c r="M105" i="1"/>
  <c r="M104" i="1"/>
  <c r="M103" i="1"/>
  <c r="M102" i="1"/>
  <c r="M101" i="1"/>
  <c r="L100" i="1"/>
  <c r="K100" i="1"/>
  <c r="M99" i="1"/>
  <c r="M98" i="1"/>
  <c r="M97" i="1"/>
  <c r="M96" i="1"/>
  <c r="M95" i="1"/>
  <c r="M94" i="1"/>
  <c r="M93" i="1"/>
  <c r="L92" i="1"/>
  <c r="K92" i="1"/>
  <c r="M91" i="1"/>
  <c r="M90" i="1"/>
  <c r="M89" i="1"/>
  <c r="M88" i="1"/>
  <c r="M87" i="1"/>
  <c r="M86" i="1"/>
  <c r="M85" i="1"/>
  <c r="K34" i="1"/>
  <c r="L33" i="1"/>
  <c r="M33" i="1" s="1"/>
  <c r="L32" i="1"/>
  <c r="M32" i="1" s="1"/>
  <c r="L31" i="1"/>
  <c r="M31" i="1" s="1"/>
  <c r="L30" i="1"/>
  <c r="M30" i="1" s="1"/>
  <c r="K29" i="1"/>
  <c r="L28" i="1"/>
  <c r="M28" i="1" s="1"/>
  <c r="L27" i="1"/>
  <c r="M27" i="1" s="1"/>
  <c r="L26" i="1"/>
  <c r="K26" i="1"/>
  <c r="M25" i="1"/>
  <c r="M24" i="1"/>
  <c r="M23" i="1"/>
  <c r="M21" i="1"/>
  <c r="L19" i="1"/>
  <c r="K19" i="1"/>
  <c r="M18" i="1"/>
  <c r="M17" i="1"/>
  <c r="M16" i="1"/>
  <c r="M15" i="1"/>
  <c r="M14" i="1"/>
  <c r="M13" i="1"/>
  <c r="L11" i="1"/>
  <c r="K11" i="1"/>
  <c r="M10" i="1"/>
  <c r="M8" i="1"/>
  <c r="M7" i="1"/>
  <c r="M6" i="1"/>
  <c r="M5" i="1"/>
  <c r="M4" i="1"/>
  <c r="K120" i="1" l="1"/>
  <c r="L120" i="1"/>
  <c r="L121" i="1" s="1"/>
  <c r="L29" i="1"/>
  <c r="L34" i="1"/>
  <c r="L84" i="1"/>
  <c r="M79" i="1"/>
  <c r="K84" i="1" l="1"/>
  <c r="M83" i="1"/>
  <c r="M82" i="1"/>
  <c r="M81" i="1"/>
  <c r="M80" i="1"/>
  <c r="M78" i="1"/>
  <c r="M77" i="1"/>
  <c r="M76" i="1"/>
  <c r="L73" i="1"/>
  <c r="K73" i="1"/>
  <c r="M72" i="1"/>
  <c r="M71" i="1"/>
  <c r="M70" i="1"/>
  <c r="M69" i="1"/>
  <c r="M68" i="1"/>
  <c r="M67" i="1"/>
  <c r="M66" i="1"/>
  <c r="L65" i="1"/>
  <c r="K65" i="1"/>
  <c r="L57" i="1"/>
  <c r="K57" i="1"/>
  <c r="L42" i="1"/>
  <c r="K42" i="1"/>
  <c r="K48" i="1"/>
  <c r="L48" i="1" s="1"/>
  <c r="K46" i="1"/>
  <c r="L46" i="1" s="1"/>
  <c r="K44" i="1"/>
  <c r="L44" i="1" s="1"/>
  <c r="L47" i="1"/>
  <c r="L45" i="1"/>
  <c r="L43" i="1"/>
  <c r="L49" i="1" l="1"/>
  <c r="L74" i="1" s="1"/>
  <c r="K49" i="1"/>
  <c r="K74" i="1" s="1"/>
  <c r="K176" i="1" s="1"/>
  <c r="K234" i="1" s="1"/>
  <c r="M64" i="1"/>
  <c r="M63" i="1"/>
  <c r="M62" i="1"/>
  <c r="M61" i="1"/>
  <c r="M60" i="1"/>
  <c r="M59" i="1"/>
  <c r="M58" i="1"/>
  <c r="M50" i="1"/>
  <c r="M51" i="1"/>
  <c r="M52" i="1"/>
  <c r="M53" i="1"/>
  <c r="M54" i="1"/>
  <c r="M55" i="1"/>
  <c r="M56" i="1"/>
  <c r="M35" i="1"/>
  <c r="M36" i="1"/>
  <c r="M41" i="1"/>
  <c r="M40" i="1"/>
  <c r="M39" i="1"/>
  <c r="M38" i="1"/>
  <c r="M37" i="1"/>
  <c r="L155" i="1" l="1"/>
  <c r="L176" i="1"/>
  <c r="L234" i="1" s="1"/>
  <c r="L263" i="1" s="1"/>
  <c r="K121" i="1"/>
  <c r="K155" i="1"/>
  <c r="K75" i="1"/>
  <c r="L75" i="1"/>
  <c r="L249" i="5"/>
  <c r="O234" i="5" l="1"/>
  <c r="N234" i="5"/>
  <c r="M234" i="5"/>
  <c r="O232" i="5"/>
  <c r="N232" i="5"/>
  <c r="M232" i="5"/>
  <c r="O231" i="5"/>
  <c r="N231" i="5"/>
  <c r="M231" i="5"/>
  <c r="O230" i="5"/>
  <c r="N230" i="5"/>
  <c r="M230" i="5"/>
  <c r="O229" i="5"/>
  <c r="N229" i="5"/>
  <c r="M229" i="5"/>
  <c r="O225" i="5"/>
  <c r="N225" i="5"/>
  <c r="M225" i="5"/>
  <c r="O224" i="5"/>
  <c r="N224" i="5"/>
  <c r="M224" i="5"/>
  <c r="O222" i="5"/>
  <c r="N222" i="5"/>
  <c r="M222" i="5"/>
  <c r="L217" i="5"/>
  <c r="P216" i="5"/>
  <c r="P215" i="5"/>
  <c r="O214" i="5"/>
  <c r="N214" i="5"/>
  <c r="M214" i="5"/>
  <c r="O212" i="5"/>
  <c r="N212" i="5"/>
  <c r="M212" i="5"/>
  <c r="P210" i="5"/>
  <c r="P209" i="5"/>
  <c r="P208" i="5"/>
  <c r="P207" i="5"/>
  <c r="P206" i="5"/>
  <c r="R205" i="5"/>
  <c r="P205" i="5"/>
  <c r="O228" i="5" l="1"/>
  <c r="N228" i="5" s="1"/>
  <c r="M228" i="5" s="1"/>
  <c r="O227" i="5" s="1"/>
  <c r="N227" i="5" s="1"/>
  <c r="M227" i="5" s="1"/>
  <c r="R204" i="5"/>
  <c r="P202" i="5"/>
  <c r="P200" i="5"/>
  <c r="P199" i="5"/>
  <c r="P198" i="5"/>
  <c r="P197" i="5"/>
  <c r="R196" i="5"/>
  <c r="P196" i="5"/>
  <c r="R195" i="5"/>
  <c r="P192" i="5"/>
  <c r="P191" i="5"/>
  <c r="B191" i="5"/>
  <c r="P190" i="5"/>
  <c r="P189" i="5"/>
  <c r="P188" i="5"/>
  <c r="P187" i="5"/>
  <c r="P186" i="5"/>
  <c r="R185" i="5"/>
  <c r="P185" i="5"/>
  <c r="R184" i="5"/>
  <c r="P182" i="5"/>
  <c r="P181" i="5"/>
  <c r="P180" i="5"/>
  <c r="P179" i="5"/>
  <c r="P178" i="5"/>
  <c r="P177" i="5"/>
  <c r="B177" i="5"/>
  <c r="R176" i="5"/>
  <c r="R175" i="5"/>
  <c r="P170" i="5"/>
  <c r="P169" i="5"/>
  <c r="P168" i="5"/>
  <c r="P167" i="5"/>
  <c r="R166" i="5"/>
  <c r="P166" i="5"/>
  <c r="R165" i="5"/>
  <c r="P164" i="5"/>
  <c r="P163" i="5"/>
  <c r="P160" i="5"/>
  <c r="P158" i="5"/>
  <c r="P157" i="5"/>
  <c r="P155" i="5"/>
  <c r="P154" i="5"/>
  <c r="P153" i="5"/>
  <c r="P152" i="5"/>
  <c r="R151" i="5"/>
  <c r="P151" i="5"/>
  <c r="R150" i="5"/>
  <c r="P148" i="5"/>
  <c r="R146" i="5"/>
  <c r="P146" i="5"/>
  <c r="R145" i="5"/>
  <c r="P141" i="5"/>
  <c r="P140" i="5"/>
  <c r="P139" i="5"/>
  <c r="P138" i="5"/>
  <c r="P137" i="5"/>
  <c r="R136" i="5"/>
  <c r="R135" i="5"/>
  <c r="P131" i="5"/>
  <c r="P130" i="5"/>
  <c r="P129" i="5"/>
  <c r="P128" i="5"/>
  <c r="P127" i="5"/>
  <c r="P126" i="5"/>
  <c r="R125" i="5"/>
  <c r="R124" i="5"/>
  <c r="P122" i="5"/>
  <c r="P121" i="5"/>
  <c r="P120" i="5"/>
  <c r="P119" i="5"/>
  <c r="P118" i="5"/>
  <c r="P117" i="5"/>
  <c r="R116" i="5"/>
  <c r="R115" i="5"/>
  <c r="R114" i="5"/>
  <c r="P113" i="5"/>
  <c r="P111" i="5"/>
  <c r="P110" i="5"/>
  <c r="P109" i="5"/>
  <c r="P108" i="5"/>
  <c r="P107" i="5"/>
  <c r="R106" i="5"/>
  <c r="R105" i="5"/>
  <c r="P101" i="5"/>
  <c r="P100" i="5"/>
  <c r="P97" i="5"/>
  <c r="R96" i="5"/>
  <c r="R95" i="5"/>
  <c r="P95" i="5"/>
  <c r="R94" i="5"/>
  <c r="P94" i="5"/>
  <c r="P92" i="5"/>
  <c r="P91" i="5"/>
  <c r="P90" i="5"/>
  <c r="P89" i="5"/>
  <c r="P88" i="5"/>
  <c r="P87" i="5"/>
  <c r="P86" i="5"/>
  <c r="R85" i="5"/>
  <c r="P85" i="5"/>
  <c r="R84" i="5"/>
  <c r="P84" i="5"/>
  <c r="R83" i="5"/>
  <c r="P83" i="5"/>
  <c r="P82" i="5"/>
  <c r="W80" i="5"/>
  <c r="V80" i="5"/>
  <c r="U80" i="5"/>
  <c r="W78" i="5"/>
  <c r="V78" i="5"/>
  <c r="U78" i="5"/>
  <c r="P74" i="5"/>
  <c r="P73" i="5"/>
  <c r="R72" i="5"/>
  <c r="P72" i="5"/>
  <c r="R71" i="5"/>
  <c r="P71" i="5"/>
  <c r="R70" i="5"/>
  <c r="P70" i="5"/>
  <c r="P69" i="5"/>
  <c r="P68" i="5"/>
  <c r="R67" i="5"/>
  <c r="P67" i="5"/>
  <c r="R66" i="5"/>
  <c r="P66" i="5"/>
  <c r="P65" i="5"/>
  <c r="P64" i="5"/>
  <c r="P63" i="5" l="1"/>
  <c r="R59" i="5"/>
  <c r="P59" i="5"/>
  <c r="P58" i="5"/>
  <c r="P57" i="5"/>
  <c r="P55" i="5"/>
  <c r="P54" i="5"/>
  <c r="P53" i="5"/>
  <c r="P52" i="5"/>
  <c r="P51" i="5"/>
  <c r="P50" i="5"/>
  <c r="P49" i="5"/>
  <c r="P46" i="5"/>
  <c r="R45" i="5"/>
  <c r="R44" i="5"/>
  <c r="R43" i="5"/>
  <c r="P42" i="5"/>
  <c r="P41" i="5"/>
  <c r="P40" i="5"/>
  <c r="P39" i="5"/>
  <c r="P38" i="5"/>
  <c r="P37" i="5"/>
  <c r="R36" i="5"/>
  <c r="P36" i="5"/>
  <c r="R35" i="5"/>
  <c r="P35" i="5"/>
  <c r="R34" i="5"/>
  <c r="P34" i="5"/>
  <c r="P33" i="5"/>
  <c r="P32" i="5"/>
  <c r="P31" i="5"/>
  <c r="P30" i="5"/>
  <c r="P28" i="5"/>
  <c r="R26" i="5"/>
  <c r="P26" i="5"/>
  <c r="R25" i="5"/>
  <c r="P25" i="5"/>
  <c r="R24" i="5"/>
  <c r="P24" i="5"/>
  <c r="P23" i="5"/>
  <c r="P22" i="5"/>
  <c r="P21" i="5"/>
  <c r="P20" i="5"/>
  <c r="P19" i="5"/>
  <c r="P17" i="5"/>
  <c r="P16" i="5"/>
  <c r="P15" i="5"/>
  <c r="AB14" i="5"/>
  <c r="P14" i="5"/>
  <c r="AB13" i="5"/>
  <c r="P13" i="5"/>
  <c r="AB12" i="5"/>
  <c r="W11" i="5"/>
  <c r="V11" i="5"/>
  <c r="U11" i="5"/>
  <c r="AB16" i="5" l="1"/>
  <c r="P10" i="5"/>
  <c r="P9" i="5"/>
  <c r="P8" i="5"/>
  <c r="P7" i="5"/>
  <c r="P6" i="5"/>
  <c r="O12" i="5" l="1"/>
  <c r="AA6" i="5" s="1"/>
  <c r="AA8" i="5" s="1"/>
  <c r="O79" i="5"/>
  <c r="R79" i="5" s="1"/>
  <c r="O81" i="5"/>
  <c r="N79" i="5"/>
  <c r="M79" i="5"/>
  <c r="M81" i="5"/>
  <c r="N81" i="5"/>
  <c r="N12" i="5"/>
  <c r="M12" i="5"/>
  <c r="N226" i="5" l="1"/>
  <c r="N233" i="5" s="1"/>
  <c r="N235" i="5" s="1"/>
  <c r="P79" i="5"/>
  <c r="P12" i="5"/>
  <c r="O217" i="5"/>
  <c r="P248" i="5" s="1"/>
  <c r="N217" i="5"/>
  <c r="N218" i="5" s="1"/>
  <c r="M226" i="5"/>
  <c r="M233" i="5" s="1"/>
  <c r="M235" i="5" s="1"/>
  <c r="O226" i="5"/>
  <c r="O233" i="5" s="1"/>
  <c r="O235" i="5" s="1"/>
  <c r="M217" i="5"/>
  <c r="P81" i="5"/>
  <c r="Y6" i="5"/>
  <c r="Z6" i="5" s="1"/>
  <c r="R81" i="5"/>
  <c r="N236" i="5" l="1"/>
  <c r="O218" i="5"/>
  <c r="R39" i="5" s="1"/>
  <c r="O236" i="5"/>
  <c r="P249" i="5"/>
  <c r="P250" i="5" s="1"/>
  <c r="P217" i="5"/>
  <c r="M218" i="5"/>
  <c r="M236" i="5"/>
  <c r="Z8" i="5"/>
  <c r="AB6" i="5"/>
  <c r="AB8" i="5" s="1"/>
  <c r="R10" i="5"/>
  <c r="R61" i="5" l="1"/>
  <c r="R63" i="5"/>
  <c r="R48" i="5"/>
  <c r="R31" i="5"/>
  <c r="R20" i="5"/>
  <c r="R17" i="5"/>
  <c r="R9" i="5"/>
  <c r="R12" i="5"/>
  <c r="R21" i="5"/>
  <c r="R15" i="5"/>
  <c r="R16" i="5"/>
  <c r="R29" i="5"/>
  <c r="R8" i="5"/>
  <c r="R50" i="5"/>
  <c r="S10" i="5"/>
  <c r="S25" i="5"/>
  <c r="S35" i="5"/>
  <c r="S16" i="5"/>
  <c r="S17" i="5"/>
  <c r="S31" i="5"/>
  <c r="S61" i="5"/>
  <c r="S39" i="5"/>
  <c r="S46" i="5"/>
  <c r="S52" i="5"/>
  <c r="S72" i="5"/>
  <c r="S86" i="5"/>
  <c r="S98" i="5"/>
  <c r="S145" i="5"/>
  <c r="S162" i="5"/>
  <c r="S191" i="5"/>
  <c r="S63" i="5"/>
  <c r="S84" i="5"/>
  <c r="S105" i="5"/>
  <c r="S116" i="5"/>
  <c r="S125" i="5"/>
  <c r="S136" i="5"/>
  <c r="S157" i="5"/>
  <c r="S175" i="5"/>
  <c r="S186" i="5"/>
  <c r="S206" i="5"/>
  <c r="S8" i="5"/>
  <c r="S32" i="5"/>
  <c r="S20" i="5"/>
  <c r="S27" i="5"/>
  <c r="S50" i="5"/>
  <c r="S95" i="5"/>
  <c r="S112" i="5"/>
  <c r="S177" i="5"/>
  <c r="S114" i="5"/>
  <c r="S146" i="5"/>
  <c r="S204" i="5"/>
  <c r="S6" i="5"/>
  <c r="S26" i="5"/>
  <c r="S36" i="5"/>
  <c r="S18" i="5"/>
  <c r="S41" i="5"/>
  <c r="S21" i="5"/>
  <c r="S43" i="5"/>
  <c r="S48" i="5"/>
  <c r="S67" i="5"/>
  <c r="S73" i="5"/>
  <c r="S92" i="5"/>
  <c r="S108" i="5"/>
  <c r="S147" i="5"/>
  <c r="S165" i="5"/>
  <c r="S192" i="5"/>
  <c r="S64" i="5"/>
  <c r="S88" i="5"/>
  <c r="S106" i="5"/>
  <c r="S117" i="5"/>
  <c r="S128" i="5"/>
  <c r="S137" i="5"/>
  <c r="S166" i="5"/>
  <c r="S176" i="5"/>
  <c r="S196" i="5"/>
  <c r="S215" i="5"/>
  <c r="S68" i="5"/>
  <c r="S66" i="5"/>
  <c r="S132" i="5"/>
  <c r="S181" i="5"/>
  <c r="S9" i="5"/>
  <c r="S24" i="5"/>
  <c r="S34" i="5"/>
  <c r="S15" i="5"/>
  <c r="S29" i="5"/>
  <c r="S59" i="5"/>
  <c r="S37" i="5"/>
  <c r="S45" i="5"/>
  <c r="S51" i="5"/>
  <c r="S70" i="5"/>
  <c r="S85" i="5"/>
  <c r="S96" i="5"/>
  <c r="S142" i="5"/>
  <c r="S152" i="5"/>
  <c r="S184" i="5"/>
  <c r="S201" i="5"/>
  <c r="S71" i="5"/>
  <c r="S103" i="5"/>
  <c r="S115" i="5"/>
  <c r="S124" i="5"/>
  <c r="S135" i="5"/>
  <c r="S150" i="5"/>
  <c r="S172" i="5"/>
  <c r="S185" i="5"/>
  <c r="S205" i="5"/>
  <c r="S22" i="5"/>
  <c r="S13" i="5"/>
  <c r="S57" i="5"/>
  <c r="S44" i="5"/>
  <c r="S83" i="5"/>
  <c r="S151" i="5"/>
  <c r="S195" i="5"/>
  <c r="S94" i="5"/>
  <c r="S122" i="5"/>
  <c r="S167" i="5"/>
  <c r="R217" i="5" l="1"/>
  <c r="T26" i="5"/>
  <c r="T10" i="5"/>
  <c r="T36" i="5"/>
  <c r="T17" i="5"/>
</calcChain>
</file>

<file path=xl/sharedStrings.xml><?xml version="1.0" encoding="utf-8"?>
<sst xmlns="http://schemas.openxmlformats.org/spreadsheetml/2006/main" count="669" uniqueCount="229">
  <si>
    <t>Tanggal Lelang/pricing</t>
  </si>
  <si>
    <t>Tanggal Setelmen</t>
  </si>
  <si>
    <t>Seri</t>
  </si>
  <si>
    <t>Jatuh 
Tempo</t>
  </si>
  <si>
    <t>Kupon/ Imbalan</t>
  </si>
  <si>
    <t>Lowest Incoming Yield/Price</t>
  </si>
  <si>
    <t>WAY Incoming</t>
  </si>
  <si>
    <t>Highest Incoming Yield/Price</t>
  </si>
  <si>
    <t>Lowest Awarded Yield/Price</t>
  </si>
  <si>
    <t>Yield/Harga Rata-rata Tertimbang</t>
  </si>
  <si>
    <t>Highest Awarded Yield/Price</t>
  </si>
  <si>
    <t>Target Penerbitan</t>
  </si>
  <si>
    <t>Total Penawaran</t>
  </si>
  <si>
    <t>Total Penawaran Memenuhi Benchmark</t>
  </si>
  <si>
    <t>Total Penawaran Diterima</t>
  </si>
  <si>
    <t>Bid to cover ratio</t>
  </si>
  <si>
    <t>Owner’s estimate</t>
  </si>
  <si>
    <t>Total</t>
  </si>
  <si>
    <t xml:space="preserve"> </t>
  </si>
  <si>
    <t>Jenis</t>
  </si>
  <si>
    <t>FR</t>
  </si>
  <si>
    <t>VR</t>
  </si>
  <si>
    <t>ORI</t>
  </si>
  <si>
    <t>SPN</t>
  </si>
  <si>
    <t>ON Valas</t>
  </si>
  <si>
    <t>Samurai Bond</t>
  </si>
  <si>
    <t>Sukuk Valas</t>
  </si>
  <si>
    <t>SDHI</t>
  </si>
  <si>
    <t>Grand Total</t>
  </si>
  <si>
    <t>IFR</t>
  </si>
  <si>
    <t>Sukuk Ritel</t>
  </si>
  <si>
    <t>Kurs yang dipakai untuk penerbitan valas:</t>
  </si>
  <si>
    <t>FR0058</t>
  </si>
  <si>
    <t>SPN-S</t>
  </si>
  <si>
    <t>FR0060</t>
  </si>
  <si>
    <t>FR0061</t>
  </si>
  <si>
    <t>PBS</t>
  </si>
  <si>
    <t>SPN12130111</t>
  </si>
  <si>
    <t>SPN03120411</t>
  </si>
  <si>
    <t>RI0142</t>
  </si>
  <si>
    <t>USD1.750.000.000</t>
  </si>
  <si>
    <t>USD3.600.000.000</t>
  </si>
  <si>
    <t>SPN03120429</t>
  </si>
  <si>
    <t>FR0059</t>
  </si>
  <si>
    <t>Hasil Penerbitan Surat Berharga Negara - 2012 (juta rupiah)</t>
  </si>
  <si>
    <t>SPN03120508</t>
  </si>
  <si>
    <t>SPN12130208</t>
  </si>
  <si>
    <t>FR0062</t>
  </si>
  <si>
    <t>PBS001</t>
  </si>
  <si>
    <t>PBS002</t>
  </si>
  <si>
    <t>PBS003</t>
  </si>
  <si>
    <t>IFR0010</t>
  </si>
  <si>
    <t>SPN-S 15082012</t>
  </si>
  <si>
    <t>PBS004</t>
  </si>
  <si>
    <t>SPN03120522</t>
  </si>
  <si>
    <t>SPN12130208 (reopening 1)</t>
  </si>
  <si>
    <t>SPN03120607</t>
  </si>
  <si>
    <t>SPN12130307</t>
  </si>
  <si>
    <t>SPN03120621</t>
  </si>
  <si>
    <t>SPN-S 14092012</t>
  </si>
  <si>
    <t>SR-004</t>
  </si>
  <si>
    <t>SDHI 2017A</t>
  </si>
  <si>
    <t>SDHI 2019A</t>
  </si>
  <si>
    <t>SDHI 2022A</t>
  </si>
  <si>
    <t>SPN12130404</t>
  </si>
  <si>
    <t>SPNS11102012</t>
  </si>
  <si>
    <t>SPN03120718</t>
  </si>
  <si>
    <t>SPN12130404 (reopening 1)</t>
  </si>
  <si>
    <t>RI0422</t>
  </si>
  <si>
    <t>USD2.000.000.000</t>
  </si>
  <si>
    <t>USD500.000.000</t>
  </si>
  <si>
    <t>USD5.900.000.000</t>
  </si>
  <si>
    <t>Persentase realisasi penerbitan/target=</t>
  </si>
  <si>
    <t>Sisa penerbitan =</t>
  </si>
  <si>
    <t>SDHI 2016A</t>
  </si>
  <si>
    <t>SDHI 2020A</t>
  </si>
  <si>
    <t>target SBN 2012 (data per 30 April 2012) =</t>
  </si>
  <si>
    <t>sisa penerbitan (271,664,408-138,767,805)=</t>
  </si>
  <si>
    <t>SPN12130502</t>
  </si>
  <si>
    <t>SPNS09112012</t>
  </si>
  <si>
    <t>SPNS09112012 (greenshoe)</t>
  </si>
  <si>
    <t>SPN03120815</t>
  </si>
  <si>
    <t>SPN12130502(reopening 1)</t>
  </si>
  <si>
    <t>SPN12130606</t>
  </si>
  <si>
    <t>SDHI2018A</t>
  </si>
  <si>
    <t>SPNS13122012</t>
  </si>
  <si>
    <t>SPN03120920</t>
  </si>
  <si>
    <t>SPN12130606 (reopneing 1)</t>
  </si>
  <si>
    <t>SPN12130704</t>
  </si>
  <si>
    <t>SPN03121018</t>
  </si>
  <si>
    <t>SPN12130704 (reopening 1)</t>
  </si>
  <si>
    <t>SPN-S 11012013</t>
  </si>
  <si>
    <t>SPN03121112</t>
  </si>
  <si>
    <t>SPN12130812</t>
  </si>
  <si>
    <t>FR0063</t>
  </si>
  <si>
    <t>FR0064</t>
  </si>
  <si>
    <t>SPN-S 08022013</t>
  </si>
  <si>
    <t>SPN-S 25012013</t>
  </si>
  <si>
    <t>FR0065</t>
  </si>
  <si>
    <t>SPN03121212</t>
  </si>
  <si>
    <t>SPN12130912</t>
  </si>
  <si>
    <t>SPN-S 19032013</t>
  </si>
  <si>
    <t>SPN-S 05032013</t>
  </si>
  <si>
    <t>SDHI 2015A</t>
  </si>
  <si>
    <t>SDHI 2020B</t>
  </si>
  <si>
    <t>SPN03130107</t>
  </si>
  <si>
    <t>SPN12131007</t>
  </si>
  <si>
    <t>ORI009</t>
  </si>
  <si>
    <t>SPN-S 03042013</t>
  </si>
  <si>
    <t>SPN-S 17042013</t>
  </si>
  <si>
    <t>FR0066</t>
  </si>
  <si>
    <t>SPN-S 30042013</t>
  </si>
  <si>
    <t>SPN03130213</t>
  </si>
  <si>
    <t>SPN12131113</t>
  </si>
  <si>
    <t>RIJPY1122</t>
  </si>
  <si>
    <t>JPY60.000.000.000</t>
  </si>
  <si>
    <t>SNI22</t>
  </si>
  <si>
    <t>USD1.000.000.000</t>
  </si>
  <si>
    <t>SPN03130304</t>
  </si>
  <si>
    <t>SPN12131204</t>
  </si>
  <si>
    <t>WAY Awarded</t>
  </si>
  <si>
    <t>T o t a l</t>
  </si>
  <si>
    <t>Tanggal Lelang/
Pricing Date</t>
  </si>
  <si>
    <t>Metode Penerbitan/ Issuance Method</t>
  </si>
  <si>
    <t>Seri/Series</t>
  </si>
  <si>
    <t>Jatuh 
Tempo/Maturity Date</t>
  </si>
  <si>
    <t>Kupon/Imbalan - Coupon</t>
  </si>
  <si>
    <t>Total Penawaran/ Incoming Bid</t>
  </si>
  <si>
    <t>Diskonto</t>
  </si>
  <si>
    <t>Nominal Dalam Juta Rupiah</t>
  </si>
  <si>
    <t>-</t>
  </si>
  <si>
    <t>FR0075</t>
  </si>
  <si>
    <t>SPN03180215</t>
  </si>
  <si>
    <t>SPN12181115</t>
  </si>
  <si>
    <t>Tanggal Setelmen/
Settlement Date</t>
  </si>
  <si>
    <t>Total Penawaran Diterima/ 
Awarded Bid</t>
  </si>
  <si>
    <t>Lelang/Auction</t>
  </si>
  <si>
    <t>FR0097</t>
  </si>
  <si>
    <t>FR0098</t>
  </si>
  <si>
    <t>PBSG001</t>
  </si>
  <si>
    <t>FR0100</t>
  </si>
  <si>
    <t>FR0101</t>
  </si>
  <si>
    <t>PBS038</t>
  </si>
  <si>
    <t>G r a n d   T o t a l   b u l a n   J a n u a r i   2 0 2 4</t>
  </si>
  <si>
    <t>SPN03240404</t>
  </si>
  <si>
    <t>SPN12250103</t>
  </si>
  <si>
    <t>FR0102</t>
  </si>
  <si>
    <t>Ringkasan Hasil Penerbitan Surat Berharga Negara Tahun 2024 (juta Rupiah) / Summary Result of Government Securities Issuance in 2024 (million Rupiah)</t>
  </si>
  <si>
    <t>SPNS09072024</t>
  </si>
  <si>
    <t>SPNS07102024</t>
  </si>
  <si>
    <t>PBS032</t>
  </si>
  <si>
    <t>PBS030</t>
  </si>
  <si>
    <t>PBS039</t>
  </si>
  <si>
    <t>SPN03240417</t>
  </si>
  <si>
    <t>SPN12250116</t>
  </si>
  <si>
    <t>Bookbuilding</t>
  </si>
  <si>
    <t>RI0329</t>
  </si>
  <si>
    <t>RI0234</t>
  </si>
  <si>
    <t>RI0254</t>
  </si>
  <si>
    <t>USD650.000.000</t>
  </si>
  <si>
    <t>USD900.000.000</t>
  </si>
  <si>
    <t>G r a n d   T o t a l   s . d .  T a n g g a l  2 5  b u l a n   J a n u a r i   2 0 2 4</t>
  </si>
  <si>
    <t>FRSDG001</t>
  </si>
  <si>
    <t>SPN03240501</t>
  </si>
  <si>
    <t>G r a n d   T o t a l   b u l a n   F e b r u a r i   2 0 2 4</t>
  </si>
  <si>
    <t>SPNS04062024</t>
  </si>
  <si>
    <t>PBS036</t>
  </si>
  <si>
    <t>PBS037</t>
  </si>
  <si>
    <t>PBS034</t>
  </si>
  <si>
    <t>SPN03240313</t>
  </si>
  <si>
    <t>SPN12241212</t>
  </si>
  <si>
    <t>FR0089</t>
  </si>
  <si>
    <t>Private Placement</t>
  </si>
  <si>
    <t>FR0076</t>
  </si>
  <si>
    <t>FR0080</t>
  </si>
  <si>
    <t>FR0088</t>
  </si>
  <si>
    <t>FR0093</t>
  </si>
  <si>
    <t>SPNS05082024</t>
  </si>
  <si>
    <t>SPNS03112024</t>
  </si>
  <si>
    <t>SPN03240515</t>
  </si>
  <si>
    <t>SPN12250213</t>
  </si>
  <si>
    <t>SPNS18112024</t>
  </si>
  <si>
    <t>G r a n d   T o t a l   s . d .  T a n g g a l   2 9   b u l a n   F e b r u a r i   2 0 2 4</t>
  </si>
  <si>
    <t>SPN12240529</t>
  </si>
  <si>
    <t>ORI025T3</t>
  </si>
  <si>
    <t>ORI025T6</t>
  </si>
  <si>
    <t>SPNS03092024</t>
  </si>
  <si>
    <t>SPNS02122024</t>
  </si>
  <si>
    <t>G r a n d   T o t a l   b u l a n   M a r e t   2 0 2 4</t>
  </si>
  <si>
    <t>SPN03240613</t>
  </si>
  <si>
    <t>SPN12250314</t>
  </si>
  <si>
    <t>G r a n d   T o t a l   s . d .  T a n g g a l   2 8   b u l a n   M a r e t   2 0 2 4</t>
  </si>
  <si>
    <t>SPN12240628</t>
  </si>
  <si>
    <t>SR020T3</t>
  </si>
  <si>
    <t>SR020T5</t>
  </si>
  <si>
    <t>SPNS22102024</t>
  </si>
  <si>
    <t>SPNS20012025</t>
  </si>
  <si>
    <t>(Greeshoe Option)</t>
  </si>
  <si>
    <t>G r a n d   T o t a l   b u l a n   A p r i l   2 0 2 4</t>
  </si>
  <si>
    <t>G r a n d   T o t a l   s . d .  T a n g g a l   2 5   b u l a n   A p r i l   2 0 2 4</t>
  </si>
  <si>
    <t>SPN03240801</t>
  </si>
  <si>
    <t>SPN12250502</t>
  </si>
  <si>
    <t>G r a n d   T o t a l   b u l a n   M e i   2 0 2 4</t>
  </si>
  <si>
    <t>SPNS02022025</t>
  </si>
  <si>
    <t>SPN03240814</t>
  </si>
  <si>
    <t>SPN03240828</t>
  </si>
  <si>
    <t>SPN12250529</t>
  </si>
  <si>
    <t>G r a n d   T o t a l   s . d .  T a n g g a l   3 0   b u l a n   M e i   2 0 2 4</t>
  </si>
  <si>
    <t>G r a n d   T o t a l   b u l a n   J u n i   2 0 2 4</t>
  </si>
  <si>
    <t>SPNS03032025</t>
  </si>
  <si>
    <t>SPN03240911</t>
  </si>
  <si>
    <t>SPN12250612</t>
  </si>
  <si>
    <t>RIJPY0527</t>
  </si>
  <si>
    <t>RIJPY0529A</t>
  </si>
  <si>
    <t>RIJPY0531A</t>
  </si>
  <si>
    <t>RIJPY0534A</t>
  </si>
  <si>
    <t>RIJPY0531B</t>
  </si>
  <si>
    <t>RIJPY0534B</t>
  </si>
  <si>
    <t>RIJPY0544</t>
  </si>
  <si>
    <t>JPY50.000.000.000</t>
  </si>
  <si>
    <t>JPY88.000.000.000</t>
  </si>
  <si>
    <t>JPY17.700.000.000</t>
  </si>
  <si>
    <t>JPY2.000.000.000</t>
  </si>
  <si>
    <t>JPY19.300.000.000</t>
  </si>
  <si>
    <t>JPY6.800.000.000</t>
  </si>
  <si>
    <t>JPY16.200.000.000</t>
  </si>
  <si>
    <t>ST012T2</t>
  </si>
  <si>
    <t>ST012T4</t>
  </si>
  <si>
    <t>G r a n d   T o t a l   s . d .  T a n g g a l   2 1   b u l a n   J u n i   2 0 2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</si>
</sst>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_);_(@_)"/>
    <numFmt numFmtId="165" formatCode="0.00000%"/>
    <numFmt numFmtId="166" formatCode="_(* #,##0_);_(* \(#,##0\);_(* &quot;-&quot;??_);_(@_)"/>
    <numFmt numFmtId="167" formatCode="[$-409]d\-mmm;@"/>
    <numFmt numFmtId="168" formatCode="[$-409]d\-mmm\-yy;@"/>
  </numFmts>
  <fonts count="30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1"/>
      <color indexed="20"/>
      <name val="Calibri"/>
      <family val="2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i/>
      <sz val="11"/>
      <color indexed="23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sz val="11"/>
      <color indexed="62"/>
      <name val="Calibri"/>
      <family val="2"/>
      <charset val="1"/>
    </font>
    <font>
      <sz val="11"/>
      <color indexed="52"/>
      <name val="Calibri"/>
      <family val="2"/>
      <charset val="1"/>
    </font>
    <font>
      <sz val="11"/>
      <color indexed="60"/>
      <name val="Calibri"/>
      <family val="2"/>
      <charset val="1"/>
    </font>
    <font>
      <b/>
      <sz val="11"/>
      <color indexed="63"/>
      <name val="Calibri"/>
      <family val="2"/>
      <charset val="1"/>
    </font>
    <font>
      <b/>
      <sz val="18"/>
      <color indexed="56"/>
      <name val="Cambria"/>
      <family val="2"/>
      <charset val="1"/>
    </font>
    <font>
      <b/>
      <sz val="11"/>
      <color indexed="8"/>
      <name val="Calibri"/>
      <family val="2"/>
      <charset val="1"/>
    </font>
    <font>
      <sz val="11"/>
      <color indexed="10"/>
      <name val="Calibri"/>
      <family val="2"/>
      <charset val="1"/>
    </font>
    <font>
      <b/>
      <sz val="8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16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22">
    <xf numFmtId="0" fontId="0" fillId="0" borderId="0" xfId="0"/>
    <xf numFmtId="0" fontId="19" fillId="0" borderId="0" xfId="0" applyFont="1"/>
    <xf numFmtId="0" fontId="20" fillId="0" borderId="0" xfId="0" applyFont="1"/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6" fontId="19" fillId="0" borderId="13" xfId="0" applyNumberFormat="1" applyFont="1" applyBorder="1" applyAlignment="1">
      <alignment horizontal="right"/>
    </xf>
    <xf numFmtId="16" fontId="19" fillId="0" borderId="0" xfId="0" applyNumberFormat="1" applyFont="1" applyAlignment="1">
      <alignment horizontal="right"/>
    </xf>
    <xf numFmtId="0" fontId="19" fillId="0" borderId="14" xfId="0" applyFont="1" applyBorder="1"/>
    <xf numFmtId="15" fontId="19" fillId="0" borderId="15" xfId="0" applyNumberFormat="1" applyFont="1" applyBorder="1"/>
    <xf numFmtId="10" fontId="19" fillId="0" borderId="16" xfId="41" applyNumberFormat="1" applyFont="1" applyBorder="1" applyAlignment="1"/>
    <xf numFmtId="10" fontId="19" fillId="0" borderId="17" xfId="29" applyNumberFormat="1" applyFont="1" applyBorder="1" applyAlignment="1"/>
    <xf numFmtId="10" fontId="19" fillId="0" borderId="15" xfId="29" applyNumberFormat="1" applyFont="1" applyBorder="1" applyAlignment="1"/>
    <xf numFmtId="41" fontId="19" fillId="0" borderId="15" xfId="29" applyFont="1" applyBorder="1" applyAlignment="1"/>
    <xf numFmtId="41" fontId="19" fillId="0" borderId="16" xfId="29" applyFont="1" applyBorder="1" applyAlignment="1"/>
    <xf numFmtId="41" fontId="19" fillId="0" borderId="18" xfId="29" applyFont="1" applyBorder="1" applyAlignment="1"/>
    <xf numFmtId="0" fontId="19" fillId="0" borderId="13" xfId="0" applyFont="1" applyBorder="1"/>
    <xf numFmtId="0" fontId="20" fillId="0" borderId="14" xfId="0" applyFont="1" applyBorder="1"/>
    <xf numFmtId="15" fontId="20" fillId="0" borderId="15" xfId="0" applyNumberFormat="1" applyFont="1" applyBorder="1"/>
    <xf numFmtId="10" fontId="20" fillId="0" borderId="16" xfId="41" applyNumberFormat="1" applyFont="1" applyBorder="1" applyAlignment="1"/>
    <xf numFmtId="0" fontId="20" fillId="0" borderId="15" xfId="0" applyFont="1" applyBorder="1"/>
    <xf numFmtId="41" fontId="20" fillId="0" borderId="15" xfId="29" applyFont="1" applyBorder="1" applyAlignment="1"/>
    <xf numFmtId="41" fontId="20" fillId="0" borderId="16" xfId="29" applyFont="1" applyBorder="1" applyAlignment="1"/>
    <xf numFmtId="41" fontId="20" fillId="0" borderId="14" xfId="29" applyFont="1" applyBorder="1" applyAlignment="1"/>
    <xf numFmtId="41" fontId="20" fillId="0" borderId="18" xfId="29" applyFont="1" applyBorder="1" applyAlignment="1"/>
    <xf numFmtId="9" fontId="20" fillId="0" borderId="16" xfId="41" applyFont="1" applyBorder="1" applyAlignment="1"/>
    <xf numFmtId="165" fontId="20" fillId="0" borderId="16" xfId="41" applyNumberFormat="1" applyFont="1" applyBorder="1" applyAlignment="1"/>
    <xf numFmtId="165" fontId="20" fillId="0" borderId="15" xfId="0" applyNumberFormat="1" applyFont="1" applyBorder="1"/>
    <xf numFmtId="43" fontId="20" fillId="0" borderId="0" xfId="28" applyFont="1"/>
    <xf numFmtId="16" fontId="19" fillId="0" borderId="19" xfId="0" applyNumberFormat="1" applyFont="1" applyBorder="1" applyAlignment="1">
      <alignment horizontal="right"/>
    </xf>
    <xf numFmtId="16" fontId="19" fillId="0" borderId="20" xfId="0" applyNumberFormat="1" applyFont="1" applyBorder="1" applyAlignment="1">
      <alignment horizontal="right"/>
    </xf>
    <xf numFmtId="0" fontId="19" fillId="0" borderId="21" xfId="0" applyFont="1" applyBorder="1"/>
    <xf numFmtId="15" fontId="19" fillId="0" borderId="10" xfId="0" applyNumberFormat="1" applyFont="1" applyBorder="1"/>
    <xf numFmtId="10" fontId="19" fillId="0" borderId="11" xfId="41" applyNumberFormat="1" applyFont="1" applyBorder="1"/>
    <xf numFmtId="10" fontId="19" fillId="0" borderId="10" xfId="29" applyNumberFormat="1" applyFont="1" applyBorder="1"/>
    <xf numFmtId="41" fontId="19" fillId="0" borderId="10" xfId="29" applyFont="1" applyBorder="1"/>
    <xf numFmtId="164" fontId="19" fillId="0" borderId="12" xfId="29" applyNumberFormat="1" applyFont="1" applyFill="1" applyBorder="1" applyAlignment="1">
      <alignment horizontal="center"/>
    </xf>
    <xf numFmtId="41" fontId="19" fillId="0" borderId="11" xfId="29" applyFont="1" applyBorder="1"/>
    <xf numFmtId="41" fontId="20" fillId="0" borderId="0" xfId="0" applyNumberFormat="1" applyFont="1"/>
    <xf numFmtId="0" fontId="20" fillId="0" borderId="22" xfId="0" applyFont="1" applyBorder="1" applyAlignment="1">
      <alignment horizontal="center" vertical="center" wrapText="1"/>
    </xf>
    <xf numFmtId="41" fontId="20" fillId="24" borderId="22" xfId="0" applyNumberFormat="1" applyFont="1" applyFill="1" applyBorder="1"/>
    <xf numFmtId="9" fontId="20" fillId="0" borderId="0" xfId="41" applyFont="1"/>
    <xf numFmtId="0" fontId="19" fillId="25" borderId="22" xfId="0" applyFont="1" applyFill="1" applyBorder="1"/>
    <xf numFmtId="41" fontId="19" fillId="25" borderId="22" xfId="0" applyNumberFormat="1" applyFont="1" applyFill="1" applyBorder="1"/>
    <xf numFmtId="164" fontId="20" fillId="0" borderId="18" xfId="29" applyNumberFormat="1" applyFont="1" applyBorder="1" applyAlignment="1"/>
    <xf numFmtId="41" fontId="20" fillId="24" borderId="22" xfId="0" applyNumberFormat="1" applyFont="1" applyFill="1" applyBorder="1" applyAlignment="1">
      <alignment horizontal="left"/>
    </xf>
    <xf numFmtId="41" fontId="20" fillId="0" borderId="22" xfId="0" applyNumberFormat="1" applyFont="1" applyBorder="1" applyAlignment="1">
      <alignment horizontal="left"/>
    </xf>
    <xf numFmtId="41" fontId="20" fillId="0" borderId="22" xfId="0" applyNumberFormat="1" applyFont="1" applyBorder="1"/>
    <xf numFmtId="43" fontId="20" fillId="0" borderId="16" xfId="28" applyFont="1" applyBorder="1" applyAlignment="1"/>
    <xf numFmtId="41" fontId="19" fillId="0" borderId="22" xfId="0" applyNumberFormat="1" applyFont="1" applyBorder="1" applyAlignment="1">
      <alignment horizontal="left"/>
    </xf>
    <xf numFmtId="41" fontId="19" fillId="0" borderId="22" xfId="0" applyNumberFormat="1" applyFont="1" applyBorder="1"/>
    <xf numFmtId="0" fontId="20" fillId="0" borderId="0" xfId="0" applyFont="1" applyAlignment="1">
      <alignment horizontal="center" vertical="center" wrapText="1"/>
    </xf>
    <xf numFmtId="41" fontId="19" fillId="0" borderId="0" xfId="29" applyFont="1" applyBorder="1" applyAlignment="1"/>
    <xf numFmtId="9" fontId="20" fillId="0" borderId="0" xfId="41" applyFont="1" applyBorder="1" applyAlignment="1"/>
    <xf numFmtId="10" fontId="20" fillId="0" borderId="0" xfId="41" applyNumberFormat="1" applyFont="1" applyBorder="1" applyAlignment="1"/>
    <xf numFmtId="43" fontId="20" fillId="0" borderId="0" xfId="0" applyNumberFormat="1" applyFont="1"/>
    <xf numFmtId="10" fontId="20" fillId="0" borderId="0" xfId="0" applyNumberFormat="1" applyFont="1"/>
    <xf numFmtId="0" fontId="19" fillId="0" borderId="0" xfId="0" applyFont="1" applyAlignment="1">
      <alignment vertical="top"/>
    </xf>
    <xf numFmtId="167" fontId="20" fillId="0" borderId="23" xfId="0" applyNumberFormat="1" applyFont="1" applyBorder="1"/>
    <xf numFmtId="167" fontId="20" fillId="0" borderId="15" xfId="0" applyNumberFormat="1" applyFont="1" applyBorder="1"/>
    <xf numFmtId="43" fontId="20" fillId="0" borderId="0" xfId="41" applyNumberFormat="1" applyFont="1"/>
    <xf numFmtId="0" fontId="20" fillId="0" borderId="24" xfId="0" applyFont="1" applyBorder="1" applyAlignment="1">
      <alignment horizontal="center" vertical="center" wrapText="1"/>
    </xf>
    <xf numFmtId="165" fontId="20" fillId="0" borderId="16" xfId="41" applyNumberFormat="1" applyFont="1" applyFill="1" applyBorder="1" applyAlignment="1"/>
    <xf numFmtId="41" fontId="20" fillId="0" borderId="15" xfId="29" applyFont="1" applyFill="1" applyBorder="1" applyAlignment="1"/>
    <xf numFmtId="164" fontId="20" fillId="0" borderId="18" xfId="29" applyNumberFormat="1" applyFont="1" applyFill="1" applyBorder="1" applyAlignment="1"/>
    <xf numFmtId="10" fontId="20" fillId="0" borderId="25" xfId="41" applyNumberFormat="1" applyFont="1" applyFill="1" applyBorder="1" applyAlignment="1"/>
    <xf numFmtId="167" fontId="20" fillId="0" borderId="26" xfId="0" applyNumberFormat="1" applyFont="1" applyBorder="1"/>
    <xf numFmtId="43" fontId="20" fillId="0" borderId="16" xfId="28" applyFont="1" applyFill="1" applyBorder="1" applyAlignment="1"/>
    <xf numFmtId="167" fontId="20" fillId="0" borderId="27" xfId="0" applyNumberFormat="1" applyFont="1" applyBorder="1"/>
    <xf numFmtId="0" fontId="20" fillId="0" borderId="28" xfId="0" applyFont="1" applyBorder="1"/>
    <xf numFmtId="15" fontId="20" fillId="0" borderId="26" xfId="0" applyNumberFormat="1" applyFont="1" applyBorder="1"/>
    <xf numFmtId="165" fontId="20" fillId="0" borderId="26" xfId="41" applyNumberFormat="1" applyFont="1" applyFill="1" applyBorder="1" applyAlignment="1"/>
    <xf numFmtId="165" fontId="20" fillId="0" borderId="29" xfId="41" applyNumberFormat="1" applyFont="1" applyFill="1" applyBorder="1" applyAlignment="1"/>
    <xf numFmtId="165" fontId="20" fillId="0" borderId="26" xfId="0" applyNumberFormat="1" applyFont="1" applyBorder="1"/>
    <xf numFmtId="41" fontId="20" fillId="0" borderId="26" xfId="29" applyFont="1" applyFill="1" applyBorder="1" applyAlignment="1"/>
    <xf numFmtId="41" fontId="20" fillId="0" borderId="26" xfId="29" applyFont="1" applyFill="1" applyBorder="1" applyAlignment="1">
      <alignment horizontal="right"/>
    </xf>
    <xf numFmtId="164" fontId="20" fillId="0" borderId="30" xfId="29" applyNumberFormat="1" applyFont="1" applyFill="1" applyBorder="1" applyAlignment="1"/>
    <xf numFmtId="10" fontId="20" fillId="0" borderId="31" xfId="41" applyNumberFormat="1" applyFont="1" applyFill="1" applyBorder="1" applyAlignment="1"/>
    <xf numFmtId="166" fontId="20" fillId="0" borderId="0" xfId="28" applyNumberFormat="1" applyFont="1"/>
    <xf numFmtId="43" fontId="19" fillId="0" borderId="0" xfId="28" applyFont="1" applyBorder="1"/>
    <xf numFmtId="167" fontId="20" fillId="0" borderId="0" xfId="0" applyNumberFormat="1" applyFont="1"/>
    <xf numFmtId="167" fontId="20" fillId="26" borderId="23" xfId="0" applyNumberFormat="1" applyFont="1" applyFill="1" applyBorder="1"/>
    <xf numFmtId="167" fontId="20" fillId="26" borderId="15" xfId="0" applyNumberFormat="1" applyFont="1" applyFill="1" applyBorder="1"/>
    <xf numFmtId="0" fontId="20" fillId="26" borderId="14" xfId="0" applyFont="1" applyFill="1" applyBorder="1"/>
    <xf numFmtId="15" fontId="20" fillId="26" borderId="15" xfId="0" applyNumberFormat="1" applyFont="1" applyFill="1" applyBorder="1"/>
    <xf numFmtId="43" fontId="20" fillId="26" borderId="16" xfId="28" applyFont="1" applyFill="1" applyBorder="1" applyAlignment="1"/>
    <xf numFmtId="165" fontId="20" fillId="26" borderId="16" xfId="41" applyNumberFormat="1" applyFont="1" applyFill="1" applyBorder="1" applyAlignment="1"/>
    <xf numFmtId="165" fontId="20" fillId="26" borderId="15" xfId="0" applyNumberFormat="1" applyFont="1" applyFill="1" applyBorder="1"/>
    <xf numFmtId="41" fontId="20" fillId="26" borderId="15" xfId="29" applyFont="1" applyFill="1" applyBorder="1" applyAlignment="1"/>
    <xf numFmtId="164" fontId="20" fillId="26" borderId="18" xfId="29" applyNumberFormat="1" applyFont="1" applyFill="1" applyBorder="1" applyAlignment="1"/>
    <xf numFmtId="10" fontId="20" fillId="26" borderId="0" xfId="41" applyNumberFormat="1" applyFont="1" applyFill="1" applyBorder="1" applyAlignment="1"/>
    <xf numFmtId="167" fontId="20" fillId="26" borderId="0" xfId="0" applyNumberFormat="1" applyFont="1" applyFill="1"/>
    <xf numFmtId="0" fontId="19" fillId="26" borderId="13" xfId="0" applyFont="1" applyFill="1" applyBorder="1"/>
    <xf numFmtId="0" fontId="19" fillId="26" borderId="0" xfId="0" applyFont="1" applyFill="1"/>
    <xf numFmtId="10" fontId="20" fillId="0" borderId="0" xfId="41" applyNumberFormat="1" applyFont="1"/>
    <xf numFmtId="10" fontId="20" fillId="0" borderId="16" xfId="28" applyNumberFormat="1" applyFont="1" applyBorder="1" applyAlignment="1"/>
    <xf numFmtId="165" fontId="20" fillId="0" borderId="16" xfId="28" applyNumberFormat="1" applyFont="1" applyBorder="1" applyAlignment="1"/>
    <xf numFmtId="10" fontId="20" fillId="27" borderId="0" xfId="41" applyNumberFormat="1" applyFont="1" applyFill="1" applyBorder="1" applyAlignment="1"/>
    <xf numFmtId="43" fontId="20" fillId="27" borderId="0" xfId="0" applyNumberFormat="1" applyFont="1" applyFill="1"/>
    <xf numFmtId="0" fontId="20" fillId="27" borderId="0" xfId="0" applyFont="1" applyFill="1"/>
    <xf numFmtId="10" fontId="20" fillId="0" borderId="0" xfId="41" applyNumberFormat="1" applyFont="1" applyFill="1" applyBorder="1" applyAlignment="1"/>
    <xf numFmtId="164" fontId="21" fillId="0" borderId="30" xfId="29" applyNumberFormat="1" applyFont="1" applyFill="1" applyBorder="1" applyAlignment="1"/>
    <xf numFmtId="41" fontId="20" fillId="0" borderId="26" xfId="29" applyFont="1" applyBorder="1" applyAlignment="1"/>
    <xf numFmtId="165" fontId="20" fillId="0" borderId="14" xfId="0" applyNumberFormat="1" applyFont="1" applyBorder="1"/>
    <xf numFmtId="165" fontId="20" fillId="0" borderId="28" xfId="0" applyNumberFormat="1" applyFont="1" applyBorder="1"/>
    <xf numFmtId="0" fontId="20" fillId="0" borderId="22" xfId="0" applyFont="1" applyBorder="1"/>
    <xf numFmtId="41" fontId="19" fillId="0" borderId="22" xfId="29" applyFont="1" applyBorder="1"/>
    <xf numFmtId="10" fontId="20" fillId="0" borderId="22" xfId="41" applyNumberFormat="1" applyFont="1" applyBorder="1"/>
    <xf numFmtId="10" fontId="20" fillId="0" borderId="22" xfId="0" applyNumberFormat="1" applyFont="1" applyBorder="1"/>
    <xf numFmtId="10" fontId="20" fillId="25" borderId="0" xfId="41" applyNumberFormat="1" applyFont="1" applyFill="1" applyBorder="1" applyAlignment="1"/>
    <xf numFmtId="43" fontId="20" fillId="25" borderId="0" xfId="0" applyNumberFormat="1" applyFont="1" applyFill="1"/>
    <xf numFmtId="0" fontId="20" fillId="25" borderId="0" xfId="0" applyFont="1" applyFill="1"/>
    <xf numFmtId="167" fontId="20" fillId="26" borderId="27" xfId="0" applyNumberFormat="1" applyFont="1" applyFill="1" applyBorder="1"/>
    <xf numFmtId="0" fontId="20" fillId="26" borderId="28" xfId="0" applyFont="1" applyFill="1" applyBorder="1"/>
    <xf numFmtId="15" fontId="20" fillId="26" borderId="26" xfId="0" applyNumberFormat="1" applyFont="1" applyFill="1" applyBorder="1"/>
    <xf numFmtId="43" fontId="20" fillId="26" borderId="29" xfId="28" applyFont="1" applyFill="1" applyBorder="1" applyAlignment="1"/>
    <xf numFmtId="165" fontId="20" fillId="26" borderId="29" xfId="41" applyNumberFormat="1" applyFont="1" applyFill="1" applyBorder="1" applyAlignment="1"/>
    <xf numFmtId="165" fontId="20" fillId="26" borderId="26" xfId="0" applyNumberFormat="1" applyFont="1" applyFill="1" applyBorder="1"/>
    <xf numFmtId="41" fontId="20" fillId="26" borderId="26" xfId="29" applyFont="1" applyFill="1" applyBorder="1" applyAlignment="1"/>
    <xf numFmtId="164" fontId="20" fillId="26" borderId="30" xfId="29" applyNumberFormat="1" applyFont="1" applyFill="1" applyBorder="1" applyAlignment="1"/>
    <xf numFmtId="10" fontId="20" fillId="26" borderId="33" xfId="41" applyNumberFormat="1" applyFont="1" applyFill="1" applyBorder="1" applyAlignment="1"/>
    <xf numFmtId="0" fontId="19" fillId="26" borderId="34" xfId="0" applyFont="1" applyFill="1" applyBorder="1"/>
    <xf numFmtId="167" fontId="20" fillId="26" borderId="35" xfId="0" applyNumberFormat="1" applyFont="1" applyFill="1" applyBorder="1"/>
    <xf numFmtId="0" fontId="20" fillId="26" borderId="36" xfId="0" applyFont="1" applyFill="1" applyBorder="1"/>
    <xf numFmtId="15" fontId="20" fillId="26" borderId="32" xfId="0" applyNumberFormat="1" applyFont="1" applyFill="1" applyBorder="1"/>
    <xf numFmtId="43" fontId="20" fillId="26" borderId="37" xfId="28" applyFont="1" applyFill="1" applyBorder="1" applyAlignment="1"/>
    <xf numFmtId="165" fontId="20" fillId="26" borderId="37" xfId="41" applyNumberFormat="1" applyFont="1" applyFill="1" applyBorder="1" applyAlignment="1"/>
    <xf numFmtId="165" fontId="20" fillId="26" borderId="32" xfId="0" applyNumberFormat="1" applyFont="1" applyFill="1" applyBorder="1"/>
    <xf numFmtId="41" fontId="20" fillId="26" borderId="32" xfId="29" applyFont="1" applyFill="1" applyBorder="1" applyAlignment="1"/>
    <xf numFmtId="164" fontId="20" fillId="26" borderId="38" xfId="29" applyNumberFormat="1" applyFont="1" applyFill="1" applyBorder="1" applyAlignment="1"/>
    <xf numFmtId="10" fontId="20" fillId="26" borderId="35" xfId="41" applyNumberFormat="1" applyFont="1" applyFill="1" applyBorder="1" applyAlignment="1"/>
    <xf numFmtId="0" fontId="19" fillId="26" borderId="39" xfId="0" applyFont="1" applyFill="1" applyBorder="1"/>
    <xf numFmtId="0" fontId="19" fillId="26" borderId="40" xfId="0" applyFont="1" applyFill="1" applyBorder="1"/>
    <xf numFmtId="0" fontId="20" fillId="26" borderId="41" xfId="0" applyFont="1" applyFill="1" applyBorder="1"/>
    <xf numFmtId="15" fontId="20" fillId="26" borderId="42" xfId="0" applyNumberFormat="1" applyFont="1" applyFill="1" applyBorder="1"/>
    <xf numFmtId="165" fontId="20" fillId="26" borderId="43" xfId="41" applyNumberFormat="1" applyFont="1" applyFill="1" applyBorder="1" applyAlignment="1"/>
    <xf numFmtId="165" fontId="20" fillId="26" borderId="42" xfId="0" applyNumberFormat="1" applyFont="1" applyFill="1" applyBorder="1"/>
    <xf numFmtId="41" fontId="20" fillId="26" borderId="42" xfId="29" applyFont="1" applyFill="1" applyBorder="1" applyAlignment="1"/>
    <xf numFmtId="164" fontId="20" fillId="26" borderId="44" xfId="29" applyNumberFormat="1" applyFont="1" applyFill="1" applyBorder="1" applyAlignment="1"/>
    <xf numFmtId="10" fontId="20" fillId="26" borderId="40" xfId="41" applyNumberFormat="1" applyFont="1" applyFill="1" applyBorder="1" applyAlignment="1"/>
    <xf numFmtId="41" fontId="20" fillId="0" borderId="15" xfId="29" applyFont="1" applyFill="1" applyBorder="1" applyAlignment="1">
      <alignment horizontal="right"/>
    </xf>
    <xf numFmtId="0" fontId="19" fillId="26" borderId="35" xfId="0" applyFont="1" applyFill="1" applyBorder="1"/>
    <xf numFmtId="0" fontId="22" fillId="0" borderId="0" xfId="0" applyFont="1"/>
    <xf numFmtId="15" fontId="20" fillId="26" borderId="0" xfId="0" applyNumberFormat="1" applyFont="1" applyFill="1"/>
    <xf numFmtId="165" fontId="20" fillId="26" borderId="0" xfId="41" applyNumberFormat="1" applyFont="1" applyFill="1" applyBorder="1" applyAlignment="1"/>
    <xf numFmtId="10" fontId="20" fillId="0" borderId="33" xfId="41" applyNumberFormat="1" applyFont="1" applyFill="1" applyBorder="1" applyAlignment="1"/>
    <xf numFmtId="0" fontId="20" fillId="0" borderId="36" xfId="0" applyFont="1" applyBorder="1"/>
    <xf numFmtId="15" fontId="20" fillId="0" borderId="32" xfId="0" applyNumberFormat="1" applyFont="1" applyBorder="1"/>
    <xf numFmtId="165" fontId="20" fillId="0" borderId="37" xfId="41" applyNumberFormat="1" applyFont="1" applyFill="1" applyBorder="1" applyAlignment="1"/>
    <xf numFmtId="41" fontId="20" fillId="0" borderId="32" xfId="29" applyFont="1" applyFill="1" applyBorder="1" applyAlignment="1"/>
    <xf numFmtId="10" fontId="20" fillId="0" borderId="35" xfId="41" applyNumberFormat="1" applyFont="1" applyFill="1" applyBorder="1" applyAlignment="1"/>
    <xf numFmtId="167" fontId="20" fillId="0" borderId="46" xfId="0" applyNumberFormat="1" applyFont="1" applyBorder="1"/>
    <xf numFmtId="165" fontId="20" fillId="0" borderId="16" xfId="0" applyNumberFormat="1" applyFont="1" applyBorder="1"/>
    <xf numFmtId="41" fontId="20" fillId="26" borderId="15" xfId="29" applyFont="1" applyFill="1" applyBorder="1" applyAlignment="1">
      <alignment horizontal="right"/>
    </xf>
    <xf numFmtId="167" fontId="20" fillId="0" borderId="15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47" xfId="0" applyFont="1" applyBorder="1" applyAlignment="1">
      <alignment horizontal="center"/>
    </xf>
    <xf numFmtId="0" fontId="20" fillId="0" borderId="0" xfId="0" applyFont="1" applyAlignment="1">
      <alignment horizontal="center"/>
    </xf>
    <xf numFmtId="15" fontId="20" fillId="0" borderId="47" xfId="0" applyNumberFormat="1" applyFont="1" applyBorder="1" applyAlignment="1">
      <alignment horizontal="center"/>
    </xf>
    <xf numFmtId="165" fontId="20" fillId="0" borderId="0" xfId="0" applyNumberFormat="1" applyFont="1" applyAlignment="1">
      <alignment horizontal="center"/>
    </xf>
    <xf numFmtId="0" fontId="20" fillId="0" borderId="47" xfId="0" applyFont="1" applyBorder="1" applyAlignment="1">
      <alignment horizontal="center"/>
    </xf>
    <xf numFmtId="0" fontId="23" fillId="28" borderId="22" xfId="0" applyFont="1" applyFill="1" applyBorder="1" applyAlignment="1">
      <alignment horizontal="center" vertical="center" wrapText="1"/>
    </xf>
    <xf numFmtId="165" fontId="23" fillId="28" borderId="22" xfId="0" applyNumberFormat="1" applyFont="1" applyFill="1" applyBorder="1" applyAlignment="1">
      <alignment horizontal="center" vertical="center" wrapText="1"/>
    </xf>
    <xf numFmtId="0" fontId="23" fillId="28" borderId="10" xfId="0" applyFont="1" applyFill="1" applyBorder="1" applyAlignment="1">
      <alignment horizontal="center" vertical="center" wrapText="1"/>
    </xf>
    <xf numFmtId="168" fontId="20" fillId="0" borderId="47" xfId="0" applyNumberFormat="1" applyFont="1" applyBorder="1" applyAlignment="1">
      <alignment horizontal="center"/>
    </xf>
    <xf numFmtId="164" fontId="19" fillId="0" borderId="22" xfId="29" applyNumberFormat="1" applyFont="1" applyFill="1" applyBorder="1" applyAlignment="1">
      <alignment horizontal="center"/>
    </xf>
    <xf numFmtId="165" fontId="20" fillId="0" borderId="47" xfId="41" applyNumberFormat="1" applyFont="1" applyFill="1" applyBorder="1" applyAlignment="1">
      <alignment horizontal="center"/>
    </xf>
    <xf numFmtId="15" fontId="0" fillId="0" borderId="0" xfId="0" applyNumberFormat="1"/>
    <xf numFmtId="10" fontId="0" fillId="0" borderId="0" xfId="0" applyNumberFormat="1"/>
    <xf numFmtId="3" fontId="0" fillId="0" borderId="0" xfId="0" applyNumberFormat="1"/>
    <xf numFmtId="164" fontId="20" fillId="0" borderId="48" xfId="29" applyNumberFormat="1" applyFont="1" applyFill="1" applyBorder="1" applyAlignment="1">
      <alignment horizontal="center"/>
    </xf>
    <xf numFmtId="0" fontId="19" fillId="0" borderId="0" xfId="0" applyFont="1" applyAlignment="1">
      <alignment horizontal="left"/>
    </xf>
    <xf numFmtId="0" fontId="24" fillId="0" borderId="47" xfId="0" applyFont="1" applyBorder="1"/>
    <xf numFmtId="41" fontId="19" fillId="0" borderId="22" xfId="29" applyFont="1" applyBorder="1" applyAlignment="1">
      <alignment horizontal="center"/>
    </xf>
    <xf numFmtId="3" fontId="25" fillId="0" borderId="47" xfId="0" quotePrefix="1" applyNumberFormat="1" applyFont="1" applyBorder="1" applyAlignment="1" applyProtection="1">
      <alignment horizontal="right" vertical="top" wrapText="1" readingOrder="1"/>
      <protection locked="0"/>
    </xf>
    <xf numFmtId="165" fontId="20" fillId="0" borderId="47" xfId="0" quotePrefix="1" applyNumberFormat="1" applyFont="1" applyBorder="1" applyAlignment="1">
      <alignment horizontal="center"/>
    </xf>
    <xf numFmtId="41" fontId="19" fillId="0" borderId="22" xfId="29" quotePrefix="1" applyFont="1" applyFill="1" applyBorder="1" applyAlignment="1"/>
    <xf numFmtId="165" fontId="20" fillId="0" borderId="25" xfId="0" applyNumberFormat="1" applyFont="1" applyBorder="1" applyAlignment="1">
      <alignment horizontal="center"/>
    </xf>
    <xf numFmtId="165" fontId="20" fillId="0" borderId="47" xfId="41" quotePrefix="1" applyNumberFormat="1" applyFont="1" applyFill="1" applyBorder="1" applyAlignment="1">
      <alignment horizontal="center"/>
    </xf>
    <xf numFmtId="3" fontId="26" fillId="0" borderId="47" xfId="0" quotePrefix="1" applyNumberFormat="1" applyFont="1" applyBorder="1" applyAlignment="1" applyProtection="1">
      <alignment horizontal="right" vertical="top" wrapText="1" readingOrder="1"/>
      <protection locked="0"/>
    </xf>
    <xf numFmtId="165" fontId="20" fillId="0" borderId="0" xfId="41" quotePrefix="1" applyNumberFormat="1" applyFont="1" applyFill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168" fontId="20" fillId="29" borderId="47" xfId="0" applyNumberFormat="1" applyFont="1" applyFill="1" applyBorder="1" applyAlignment="1">
      <alignment horizontal="center"/>
    </xf>
    <xf numFmtId="0" fontId="24" fillId="29" borderId="47" xfId="0" applyFont="1" applyFill="1" applyBorder="1"/>
    <xf numFmtId="15" fontId="20" fillId="29" borderId="47" xfId="0" applyNumberFormat="1" applyFont="1" applyFill="1" applyBorder="1" applyAlignment="1">
      <alignment horizontal="center"/>
    </xf>
    <xf numFmtId="165" fontId="20" fillId="29" borderId="47" xfId="41" applyNumberFormat="1" applyFont="1" applyFill="1" applyBorder="1" applyAlignment="1">
      <alignment horizontal="center"/>
    </xf>
    <xf numFmtId="165" fontId="20" fillId="29" borderId="47" xfId="0" applyNumberFormat="1" applyFont="1" applyFill="1" applyBorder="1" applyAlignment="1">
      <alignment horizontal="center"/>
    </xf>
    <xf numFmtId="164" fontId="20" fillId="29" borderId="47" xfId="29" applyNumberFormat="1" applyFont="1" applyFill="1" applyBorder="1" applyAlignment="1">
      <alignment horizontal="center"/>
    </xf>
    <xf numFmtId="0" fontId="19" fillId="29" borderId="47" xfId="0" applyFont="1" applyFill="1" applyBorder="1" applyAlignment="1">
      <alignment horizontal="center"/>
    </xf>
    <xf numFmtId="41" fontId="19" fillId="29" borderId="22" xfId="29" quotePrefix="1" applyFont="1" applyFill="1" applyBorder="1" applyAlignment="1"/>
    <xf numFmtId="0" fontId="19" fillId="29" borderId="23" xfId="0" applyFont="1" applyFill="1" applyBorder="1" applyAlignment="1">
      <alignment horizontal="center"/>
    </xf>
    <xf numFmtId="0" fontId="19" fillId="29" borderId="25" xfId="0" applyFont="1" applyFill="1" applyBorder="1" applyAlignment="1">
      <alignment horizontal="center"/>
    </xf>
    <xf numFmtId="164" fontId="19" fillId="29" borderId="50" xfId="29" applyNumberFormat="1" applyFont="1" applyFill="1" applyBorder="1" applyAlignment="1">
      <alignment horizontal="center"/>
    </xf>
    <xf numFmtId="165" fontId="20" fillId="29" borderId="49" xfId="41" quotePrefix="1" applyNumberFormat="1" applyFont="1" applyFill="1" applyBorder="1" applyAlignment="1">
      <alignment horizontal="center"/>
    </xf>
    <xf numFmtId="165" fontId="20" fillId="29" borderId="0" xfId="0" applyNumberFormat="1" applyFont="1" applyFill="1" applyAlignment="1">
      <alignment horizontal="center"/>
    </xf>
    <xf numFmtId="165" fontId="20" fillId="29" borderId="47" xfId="0" quotePrefix="1" applyNumberFormat="1" applyFont="1" applyFill="1" applyBorder="1" applyAlignment="1">
      <alignment horizontal="center"/>
    </xf>
    <xf numFmtId="165" fontId="20" fillId="29" borderId="0" xfId="0" quotePrefix="1" applyNumberFormat="1" applyFont="1" applyFill="1" applyAlignment="1">
      <alignment horizontal="center"/>
    </xf>
    <xf numFmtId="168" fontId="20" fillId="29" borderId="23" xfId="0" applyNumberFormat="1" applyFont="1" applyFill="1" applyBorder="1" applyAlignment="1">
      <alignment horizontal="center"/>
    </xf>
    <xf numFmtId="0" fontId="20" fillId="29" borderId="25" xfId="0" applyFont="1" applyFill="1" applyBorder="1" applyAlignment="1">
      <alignment horizontal="center"/>
    </xf>
    <xf numFmtId="0" fontId="19" fillId="29" borderId="50" xfId="0" applyFont="1" applyFill="1" applyBorder="1" applyAlignment="1">
      <alignment horizontal="center"/>
    </xf>
    <xf numFmtId="164" fontId="20" fillId="29" borderId="50" xfId="29" applyNumberFormat="1" applyFont="1" applyFill="1" applyBorder="1" applyAlignment="1">
      <alignment horizontal="center"/>
    </xf>
    <xf numFmtId="165" fontId="20" fillId="29" borderId="47" xfId="41" quotePrefix="1" applyNumberFormat="1" applyFont="1" applyFill="1" applyBorder="1" applyAlignment="1">
      <alignment horizontal="center"/>
    </xf>
    <xf numFmtId="165" fontId="20" fillId="29" borderId="0" xfId="41" quotePrefix="1" applyNumberFormat="1" applyFont="1" applyFill="1" applyBorder="1" applyAlignment="1">
      <alignment horizontal="center"/>
    </xf>
    <xf numFmtId="3" fontId="25" fillId="29" borderId="47" xfId="0" quotePrefix="1" applyNumberFormat="1" applyFont="1" applyFill="1" applyBorder="1" applyAlignment="1" applyProtection="1">
      <alignment horizontal="right" vertical="top" wrapText="1" readingOrder="1"/>
      <protection locked="0"/>
    </xf>
    <xf numFmtId="3" fontId="25" fillId="29" borderId="47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29" borderId="51" xfId="0" quotePrefix="1" applyNumberFormat="1" applyFont="1" applyFill="1" applyBorder="1" applyAlignment="1" applyProtection="1">
      <alignment horizontal="right" vertical="top" wrapText="1" readingOrder="1"/>
      <protection locked="0"/>
    </xf>
    <xf numFmtId="3" fontId="25" fillId="29" borderId="23" xfId="0" quotePrefix="1" applyNumberFormat="1" applyFont="1" applyFill="1" applyBorder="1" applyAlignment="1" applyProtection="1">
      <alignment horizontal="right" vertical="top" wrapText="1" readingOrder="1"/>
      <protection locked="0"/>
    </xf>
    <xf numFmtId="3" fontId="25" fillId="29" borderId="23" xfId="0" applyNumberFormat="1" applyFont="1" applyFill="1" applyBorder="1" applyAlignment="1" applyProtection="1">
      <alignment horizontal="right" vertical="top" wrapText="1" readingOrder="1"/>
      <protection locked="0"/>
    </xf>
    <xf numFmtId="3" fontId="26" fillId="29" borderId="47" xfId="0" quotePrefix="1" applyNumberFormat="1" applyFont="1" applyFill="1" applyBorder="1" applyAlignment="1" applyProtection="1">
      <alignment horizontal="right" vertical="top" wrapText="1" readingOrder="1"/>
      <protection locked="0"/>
    </xf>
    <xf numFmtId="0" fontId="20" fillId="29" borderId="47" xfId="0" applyFont="1" applyFill="1" applyBorder="1" applyAlignment="1">
      <alignment horizontal="center"/>
    </xf>
    <xf numFmtId="41" fontId="20" fillId="29" borderId="47" xfId="29" quotePrefix="1" applyFont="1" applyFill="1" applyBorder="1" applyAlignment="1">
      <alignment horizontal="right"/>
    </xf>
    <xf numFmtId="164" fontId="20" fillId="29" borderId="47" xfId="29" applyNumberFormat="1" applyFont="1" applyFill="1" applyBorder="1" applyAlignment="1">
      <alignment horizontal="right"/>
    </xf>
    <xf numFmtId="164" fontId="19" fillId="29" borderId="22" xfId="29" applyNumberFormat="1" applyFont="1" applyFill="1" applyBorder="1" applyAlignment="1">
      <alignment horizontal="center"/>
    </xf>
    <xf numFmtId="43" fontId="25" fillId="0" borderId="47" xfId="28" quotePrefix="1" applyFont="1" applyFill="1" applyBorder="1" applyAlignment="1" applyProtection="1">
      <alignment horizontal="right" vertical="top" wrapText="1" readingOrder="1"/>
      <protection locked="0"/>
    </xf>
    <xf numFmtId="168" fontId="20" fillId="29" borderId="49" xfId="0" applyNumberFormat="1" applyFont="1" applyFill="1" applyBorder="1" applyAlignment="1">
      <alignment horizontal="center"/>
    </xf>
    <xf numFmtId="3" fontId="27" fillId="29" borderId="47" xfId="0" quotePrefix="1" applyNumberFormat="1" applyFont="1" applyFill="1" applyBorder="1" applyAlignment="1" applyProtection="1">
      <alignment horizontal="right" vertical="top" wrapText="1" readingOrder="1"/>
      <protection locked="0"/>
    </xf>
    <xf numFmtId="3" fontId="27" fillId="29" borderId="51" xfId="0" quotePrefix="1" applyNumberFormat="1" applyFont="1" applyFill="1" applyBorder="1" applyAlignment="1" applyProtection="1">
      <alignment horizontal="right" vertical="top" wrapText="1" readingOrder="1"/>
      <protection locked="0"/>
    </xf>
    <xf numFmtId="3" fontId="27" fillId="29" borderId="23" xfId="0" quotePrefix="1" applyNumberFormat="1" applyFont="1" applyFill="1" applyBorder="1" applyAlignment="1" applyProtection="1">
      <alignment horizontal="right" vertical="top" wrapText="1" readingOrder="1"/>
      <protection locked="0"/>
    </xf>
    <xf numFmtId="3" fontId="27" fillId="29" borderId="23" xfId="0" applyNumberFormat="1" applyFont="1" applyFill="1" applyBorder="1" applyAlignment="1" applyProtection="1">
      <alignment horizontal="right" vertical="top" wrapText="1" readingOrder="1"/>
      <protection locked="0"/>
    </xf>
    <xf numFmtId="3" fontId="27" fillId="29" borderId="47" xfId="0" applyNumberFormat="1" applyFont="1" applyFill="1" applyBorder="1" applyAlignment="1" applyProtection="1">
      <alignment horizontal="right" vertical="top" wrapText="1" readingOrder="1"/>
      <protection locked="0"/>
    </xf>
    <xf numFmtId="164" fontId="20" fillId="0" borderId="48" xfId="29" quotePrefix="1" applyNumberFormat="1" applyFont="1" applyFill="1" applyBorder="1" applyAlignment="1">
      <alignment horizontal="center"/>
    </xf>
    <xf numFmtId="164" fontId="20" fillId="29" borderId="49" xfId="29" quotePrefix="1" applyNumberFormat="1" applyFont="1" applyFill="1" applyBorder="1" applyAlignment="1">
      <alignment horizontal="center"/>
    </xf>
    <xf numFmtId="164" fontId="20" fillId="0" borderId="48" xfId="29" quotePrefix="1" applyNumberFormat="1" applyFont="1" applyFill="1" applyBorder="1" applyAlignment="1">
      <alignment horizontal="right"/>
    </xf>
    <xf numFmtId="164" fontId="20" fillId="0" borderId="48" xfId="29" applyNumberFormat="1" applyFont="1" applyFill="1" applyBorder="1" applyAlignment="1">
      <alignment horizontal="right"/>
    </xf>
    <xf numFmtId="0" fontId="28" fillId="29" borderId="25" xfId="0" applyFont="1" applyFill="1" applyBorder="1" applyAlignment="1">
      <alignment vertical="center"/>
    </xf>
    <xf numFmtId="15" fontId="28" fillId="29" borderId="25" xfId="0" applyNumberFormat="1" applyFont="1" applyFill="1" applyBorder="1" applyAlignment="1">
      <alignment horizontal="center" vertical="center"/>
    </xf>
    <xf numFmtId="165" fontId="28" fillId="29" borderId="47" xfId="41" applyNumberFormat="1" applyFont="1" applyFill="1" applyBorder="1" applyAlignment="1">
      <alignment horizontal="center" vertical="center" wrapText="1"/>
    </xf>
    <xf numFmtId="165" fontId="28" fillId="29" borderId="25" xfId="41" applyNumberFormat="1" applyFont="1" applyFill="1" applyBorder="1" applyAlignment="1">
      <alignment horizontal="center" vertical="center"/>
    </xf>
    <xf numFmtId="165" fontId="28" fillId="29" borderId="47" xfId="0" applyNumberFormat="1" applyFont="1" applyFill="1" applyBorder="1" applyAlignment="1">
      <alignment horizontal="center" vertical="center"/>
    </xf>
    <xf numFmtId="41" fontId="28" fillId="29" borderId="47" xfId="29" quotePrefix="1" applyFont="1" applyFill="1" applyBorder="1" applyAlignment="1">
      <alignment vertical="center"/>
    </xf>
    <xf numFmtId="164" fontId="28" fillId="29" borderId="47" xfId="29" applyNumberFormat="1" applyFont="1" applyFill="1" applyBorder="1" applyAlignment="1">
      <alignment horizontal="right"/>
    </xf>
    <xf numFmtId="0" fontId="28" fillId="0" borderId="0" xfId="0" applyFont="1"/>
    <xf numFmtId="41" fontId="28" fillId="0" borderId="0" xfId="29" quotePrefix="1" applyFont="1" applyFill="1" applyBorder="1" applyAlignment="1">
      <alignment vertical="center"/>
    </xf>
    <xf numFmtId="41" fontId="29" fillId="29" borderId="22" xfId="29" quotePrefix="1" applyFont="1" applyFill="1" applyBorder="1" applyAlignment="1"/>
    <xf numFmtId="166" fontId="25" fillId="0" borderId="47" xfId="28" quotePrefix="1" applyNumberFormat="1" applyFont="1" applyFill="1" applyBorder="1" applyAlignment="1" applyProtection="1">
      <alignment horizontal="right" vertical="top" wrapText="1" readingOrder="1"/>
      <protection locked="0"/>
    </xf>
    <xf numFmtId="43" fontId="25" fillId="0" borderId="47" xfId="28" quotePrefix="1" applyFont="1" applyBorder="1" applyAlignment="1" applyProtection="1">
      <alignment horizontal="right" vertical="top" wrapText="1" readingOrder="1"/>
      <protection locked="0"/>
    </xf>
    <xf numFmtId="168" fontId="20" fillId="29" borderId="51" xfId="0" applyNumberFormat="1" applyFont="1" applyFill="1" applyBorder="1" applyAlignment="1">
      <alignment horizontal="center"/>
    </xf>
    <xf numFmtId="168" fontId="20" fillId="29" borderId="52" xfId="0" applyNumberFormat="1" applyFont="1" applyFill="1" applyBorder="1" applyAlignment="1">
      <alignment horizontal="center"/>
    </xf>
    <xf numFmtId="0" fontId="20" fillId="29" borderId="52" xfId="0" applyFont="1" applyFill="1" applyBorder="1" applyAlignment="1">
      <alignment horizontal="center"/>
    </xf>
    <xf numFmtId="0" fontId="24" fillId="29" borderId="49" xfId="0" applyFont="1" applyFill="1" applyBorder="1"/>
    <xf numFmtId="15" fontId="20" fillId="29" borderId="49" xfId="0" applyNumberFormat="1" applyFont="1" applyFill="1" applyBorder="1" applyAlignment="1">
      <alignment horizontal="center"/>
    </xf>
    <xf numFmtId="165" fontId="20" fillId="29" borderId="49" xfId="41" applyNumberFormat="1" applyFont="1" applyFill="1" applyBorder="1" applyAlignment="1">
      <alignment horizontal="center"/>
    </xf>
    <xf numFmtId="3" fontId="27" fillId="29" borderId="49" xfId="0" quotePrefix="1" applyNumberFormat="1" applyFont="1" applyFill="1" applyBorder="1" applyAlignment="1" applyProtection="1">
      <alignment horizontal="right" vertical="top" wrapText="1" readingOrder="1"/>
      <protection locked="0"/>
    </xf>
    <xf numFmtId="164" fontId="20" fillId="29" borderId="53" xfId="29" applyNumberFormat="1" applyFont="1" applyFill="1" applyBorder="1" applyAlignment="1">
      <alignment horizontal="center"/>
    </xf>
    <xf numFmtId="168" fontId="20" fillId="29" borderId="46" xfId="0" applyNumberFormat="1" applyFont="1" applyFill="1" applyBorder="1" applyAlignment="1">
      <alignment horizontal="center"/>
    </xf>
    <xf numFmtId="168" fontId="20" fillId="29" borderId="35" xfId="0" applyNumberFormat="1" applyFont="1" applyFill="1" applyBorder="1" applyAlignment="1">
      <alignment horizontal="center"/>
    </xf>
    <xf numFmtId="0" fontId="20" fillId="29" borderId="35" xfId="0" applyFont="1" applyFill="1" applyBorder="1" applyAlignment="1">
      <alignment horizontal="center"/>
    </xf>
    <xf numFmtId="0" fontId="24" fillId="29" borderId="50" xfId="0" applyFont="1" applyFill="1" applyBorder="1"/>
    <xf numFmtId="15" fontId="20" fillId="29" borderId="50" xfId="0" applyNumberFormat="1" applyFont="1" applyFill="1" applyBorder="1" applyAlignment="1">
      <alignment horizontal="center"/>
    </xf>
    <xf numFmtId="165" fontId="20" fillId="29" borderId="50" xfId="41" applyNumberFormat="1" applyFont="1" applyFill="1" applyBorder="1" applyAlignment="1">
      <alignment horizontal="center"/>
    </xf>
    <xf numFmtId="165" fontId="20" fillId="29" borderId="50" xfId="41" quotePrefix="1" applyNumberFormat="1" applyFont="1" applyFill="1" applyBorder="1" applyAlignment="1">
      <alignment horizontal="center"/>
    </xf>
    <xf numFmtId="3" fontId="27" fillId="29" borderId="50" xfId="0" quotePrefix="1" applyNumberFormat="1" applyFont="1" applyFill="1" applyBorder="1" applyAlignment="1" applyProtection="1">
      <alignment horizontal="right" vertical="top" wrapText="1" readingOrder="1"/>
      <protection locked="0"/>
    </xf>
    <xf numFmtId="164" fontId="20" fillId="29" borderId="54" xfId="29" applyNumberFormat="1" applyFont="1" applyFill="1" applyBorder="1" applyAlignment="1">
      <alignment horizontal="center"/>
    </xf>
    <xf numFmtId="41" fontId="19" fillId="29" borderId="50" xfId="29" quotePrefix="1" applyFont="1" applyFill="1" applyBorder="1" applyAlignment="1"/>
    <xf numFmtId="41" fontId="19" fillId="0" borderId="22" xfId="29" applyFont="1" applyFill="1" applyBorder="1" applyAlignment="1">
      <alignment horizontal="center"/>
    </xf>
    <xf numFmtId="3" fontId="27" fillId="0" borderId="47" xfId="0" quotePrefix="1" applyNumberFormat="1" applyFont="1" applyBorder="1" applyAlignment="1" applyProtection="1">
      <alignment horizontal="right" vertical="top" wrapText="1" readingOrder="1"/>
      <protection locked="0"/>
    </xf>
    <xf numFmtId="166" fontId="27" fillId="0" borderId="47" xfId="28" quotePrefix="1" applyNumberFormat="1" applyFont="1" applyFill="1" applyBorder="1" applyAlignment="1" applyProtection="1">
      <alignment horizontal="right" vertical="top" wrapText="1" readingOrder="1"/>
      <protection locked="0"/>
    </xf>
    <xf numFmtId="165" fontId="20" fillId="0" borderId="47" xfId="28" applyNumberFormat="1" applyFont="1" applyFill="1" applyBorder="1" applyAlignment="1">
      <alignment horizontal="center"/>
    </xf>
    <xf numFmtId="168" fontId="20" fillId="0" borderId="23" xfId="0" applyNumberFormat="1" applyFont="1" applyBorder="1" applyAlignment="1">
      <alignment horizontal="center"/>
    </xf>
    <xf numFmtId="168" fontId="20" fillId="0" borderId="49" xfId="0" applyNumberFormat="1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165" fontId="20" fillId="0" borderId="49" xfId="41" quotePrefix="1" applyNumberFormat="1" applyFont="1" applyFill="1" applyBorder="1" applyAlignment="1">
      <alignment horizontal="center"/>
    </xf>
    <xf numFmtId="3" fontId="27" fillId="0" borderId="51" xfId="0" quotePrefix="1" applyNumberFormat="1" applyFont="1" applyBorder="1" applyAlignment="1" applyProtection="1">
      <alignment horizontal="right" vertical="top" wrapText="1" readingOrder="1"/>
      <protection locked="0"/>
    </xf>
    <xf numFmtId="164" fontId="20" fillId="0" borderId="47" xfId="29" applyNumberFormat="1" applyFont="1" applyFill="1" applyBorder="1" applyAlignment="1">
      <alignment horizontal="center"/>
    </xf>
    <xf numFmtId="3" fontId="27" fillId="0" borderId="23" xfId="0" quotePrefix="1" applyNumberFormat="1" applyFont="1" applyBorder="1" applyAlignment="1" applyProtection="1">
      <alignment horizontal="right" vertical="top" wrapText="1" readingOrder="1"/>
      <protection locked="0"/>
    </xf>
    <xf numFmtId="165" fontId="20" fillId="0" borderId="47" xfId="0" applyNumberFormat="1" applyFont="1" applyBorder="1" applyAlignment="1">
      <alignment horizontal="center"/>
    </xf>
    <xf numFmtId="3" fontId="27" fillId="0" borderId="23" xfId="0" applyNumberFormat="1" applyFont="1" applyBorder="1" applyAlignment="1" applyProtection="1">
      <alignment horizontal="right" vertical="top" wrapText="1" readingOrder="1"/>
      <protection locked="0"/>
    </xf>
    <xf numFmtId="165" fontId="20" fillId="0" borderId="0" xfId="0" quotePrefix="1" applyNumberFormat="1" applyFont="1" applyAlignment="1">
      <alignment horizontal="center"/>
    </xf>
    <xf numFmtId="3" fontId="27" fillId="0" borderId="47" xfId="0" applyNumberFormat="1" applyFont="1" applyBorder="1" applyAlignment="1" applyProtection="1">
      <alignment horizontal="right" vertical="top" wrapText="1" readingOrder="1"/>
      <protection locked="0"/>
    </xf>
    <xf numFmtId="0" fontId="19" fillId="0" borderId="50" xfId="0" applyFont="1" applyBorder="1" applyAlignment="1">
      <alignment horizontal="center"/>
    </xf>
    <xf numFmtId="164" fontId="20" fillId="0" borderId="50" xfId="29" applyNumberFormat="1" applyFont="1" applyFill="1" applyBorder="1" applyAlignment="1">
      <alignment horizontal="center"/>
    </xf>
    <xf numFmtId="164" fontId="19" fillId="0" borderId="50" xfId="29" applyNumberFormat="1" applyFont="1" applyFill="1" applyBorder="1" applyAlignment="1">
      <alignment horizontal="center"/>
    </xf>
    <xf numFmtId="168" fontId="20" fillId="0" borderId="50" xfId="0" applyNumberFormat="1" applyFont="1" applyBorder="1" applyAlignment="1">
      <alignment horizontal="center"/>
    </xf>
    <xf numFmtId="15" fontId="20" fillId="30" borderId="47" xfId="0" applyNumberFormat="1" applyFont="1" applyFill="1" applyBorder="1" applyAlignment="1">
      <alignment horizontal="center"/>
    </xf>
    <xf numFmtId="0" fontId="20" fillId="30" borderId="47" xfId="0" applyFont="1" applyFill="1" applyBorder="1" applyAlignment="1">
      <alignment horizontal="center"/>
    </xf>
    <xf numFmtId="0" fontId="24" fillId="30" borderId="47" xfId="0" applyFont="1" applyFill="1" applyBorder="1"/>
    <xf numFmtId="165" fontId="20" fillId="30" borderId="47" xfId="41" applyNumberFormat="1" applyFont="1" applyFill="1" applyBorder="1" applyAlignment="1">
      <alignment horizontal="center"/>
    </xf>
    <xf numFmtId="165" fontId="20" fillId="30" borderId="47" xfId="0" applyNumberFormat="1" applyFont="1" applyFill="1" applyBorder="1" applyAlignment="1">
      <alignment horizontal="center"/>
    </xf>
    <xf numFmtId="41" fontId="20" fillId="30" borderId="47" xfId="29" quotePrefix="1" applyFont="1" applyFill="1" applyBorder="1" applyAlignment="1">
      <alignment horizontal="right"/>
    </xf>
    <xf numFmtId="41" fontId="20" fillId="30" borderId="23" xfId="29" quotePrefix="1" applyFont="1" applyFill="1" applyBorder="1" applyAlignment="1">
      <alignment horizontal="right"/>
    </xf>
    <xf numFmtId="164" fontId="20" fillId="30" borderId="49" xfId="29" applyNumberFormat="1" applyFont="1" applyFill="1" applyBorder="1" applyAlignment="1">
      <alignment horizontal="right"/>
    </xf>
    <xf numFmtId="0" fontId="19" fillId="30" borderId="47" xfId="0" applyFont="1" applyFill="1" applyBorder="1" applyAlignment="1">
      <alignment horizontal="center"/>
    </xf>
    <xf numFmtId="164" fontId="20" fillId="30" borderId="47" xfId="29" applyNumberFormat="1" applyFont="1" applyFill="1" applyBorder="1" applyAlignment="1">
      <alignment horizontal="center"/>
    </xf>
    <xf numFmtId="164" fontId="20" fillId="30" borderId="47" xfId="29" applyNumberFormat="1" applyFont="1" applyFill="1" applyBorder="1" applyAlignment="1">
      <alignment horizontal="right"/>
    </xf>
    <xf numFmtId="41" fontId="19" fillId="30" borderId="22" xfId="29" quotePrefix="1" applyFont="1" applyFill="1" applyBorder="1" applyAlignment="1"/>
    <xf numFmtId="164" fontId="19" fillId="30" borderId="22" xfId="29" applyNumberFormat="1" applyFont="1" applyFill="1" applyBorder="1" applyAlignment="1">
      <alignment horizontal="center"/>
    </xf>
    <xf numFmtId="167" fontId="20" fillId="0" borderId="27" xfId="0" applyNumberFormat="1" applyFont="1" applyBorder="1" applyAlignment="1">
      <alignment horizontal="center" vertical="center" wrapText="1"/>
    </xf>
    <xf numFmtId="167" fontId="20" fillId="0" borderId="23" xfId="0" applyNumberFormat="1" applyFont="1" applyBorder="1" applyAlignment="1">
      <alignment horizontal="center" vertical="center" wrapText="1"/>
    </xf>
    <xf numFmtId="167" fontId="20" fillId="0" borderId="26" xfId="0" applyNumberFormat="1" applyFont="1" applyBorder="1" applyAlignment="1">
      <alignment horizontal="center" vertical="center" wrapText="1"/>
    </xf>
    <xf numFmtId="167" fontId="20" fillId="0" borderId="15" xfId="0" applyNumberFormat="1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/>
    </xf>
    <xf numFmtId="0" fontId="20" fillId="0" borderId="45" xfId="0" applyFont="1" applyBorder="1" applyAlignment="1">
      <alignment horizontal="left"/>
    </xf>
    <xf numFmtId="0" fontId="19" fillId="29" borderId="24" xfId="0" applyFont="1" applyFill="1" applyBorder="1" applyAlignment="1">
      <alignment horizontal="center"/>
    </xf>
    <xf numFmtId="0" fontId="19" fillId="29" borderId="35" xfId="0" applyFont="1" applyFill="1" applyBorder="1" applyAlignment="1">
      <alignment horizontal="center"/>
    </xf>
    <xf numFmtId="0" fontId="19" fillId="29" borderId="20" xfId="0" applyFont="1" applyFill="1" applyBorder="1" applyAlignment="1">
      <alignment horizontal="center"/>
    </xf>
    <xf numFmtId="0" fontId="19" fillId="29" borderId="45" xfId="0" applyFont="1" applyFill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16" fontId="19" fillId="0" borderId="24" xfId="0" applyNumberFormat="1" applyFont="1" applyBorder="1" applyAlignment="1">
      <alignment horizontal="center"/>
    </xf>
    <xf numFmtId="16" fontId="19" fillId="0" borderId="20" xfId="0" applyNumberFormat="1" applyFont="1" applyBorder="1" applyAlignment="1">
      <alignment horizontal="center"/>
    </xf>
    <xf numFmtId="16" fontId="19" fillId="0" borderId="45" xfId="0" applyNumberFormat="1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0" fontId="19" fillId="29" borderId="46" xfId="0" applyFont="1" applyFill="1" applyBorder="1" applyAlignment="1">
      <alignment horizontal="center"/>
    </xf>
    <xf numFmtId="0" fontId="19" fillId="29" borderId="54" xfId="0" applyFont="1" applyFill="1" applyBorder="1" applyAlignment="1">
      <alignment horizontal="center"/>
    </xf>
    <xf numFmtId="15" fontId="28" fillId="29" borderId="51" xfId="0" applyNumberFormat="1" applyFont="1" applyFill="1" applyBorder="1" applyAlignment="1">
      <alignment horizontal="center" vertical="center"/>
    </xf>
    <xf numFmtId="15" fontId="28" fillId="29" borderId="23" xfId="0" applyNumberFormat="1" applyFont="1" applyFill="1" applyBorder="1" applyAlignment="1">
      <alignment horizontal="center" vertical="center"/>
    </xf>
    <xf numFmtId="15" fontId="28" fillId="29" borderId="46" xfId="0" applyNumberFormat="1" applyFont="1" applyFill="1" applyBorder="1" applyAlignment="1">
      <alignment horizontal="center" vertical="center"/>
    </xf>
    <xf numFmtId="0" fontId="28" fillId="29" borderId="49" xfId="0" applyFont="1" applyFill="1" applyBorder="1" applyAlignment="1">
      <alignment horizontal="center" vertical="center"/>
    </xf>
    <xf numFmtId="0" fontId="28" fillId="29" borderId="47" xfId="0" applyFont="1" applyFill="1" applyBorder="1" applyAlignment="1">
      <alignment horizontal="center" vertical="center"/>
    </xf>
    <xf numFmtId="0" fontId="28" fillId="29" borderId="50" xfId="0" applyFont="1" applyFill="1" applyBorder="1" applyAlignment="1">
      <alignment horizontal="center" vertical="center"/>
    </xf>
    <xf numFmtId="0" fontId="29" fillId="29" borderId="24" xfId="0" applyFont="1" applyFill="1" applyBorder="1" applyAlignment="1">
      <alignment horizontal="center"/>
    </xf>
    <xf numFmtId="0" fontId="29" fillId="29" borderId="20" xfId="0" applyFont="1" applyFill="1" applyBorder="1" applyAlignment="1">
      <alignment horizontal="center"/>
    </xf>
    <xf numFmtId="0" fontId="29" fillId="29" borderId="45" xfId="0" applyFont="1" applyFill="1" applyBorder="1" applyAlignment="1">
      <alignment horizontal="center"/>
    </xf>
    <xf numFmtId="0" fontId="20" fillId="0" borderId="35" xfId="0" applyFont="1" applyBorder="1" applyAlignment="1">
      <alignment horizontal="right"/>
    </xf>
    <xf numFmtId="15" fontId="28" fillId="29" borderId="49" xfId="0" applyNumberFormat="1" applyFont="1" applyFill="1" applyBorder="1" applyAlignment="1">
      <alignment horizontal="center" vertical="center"/>
    </xf>
    <xf numFmtId="15" fontId="28" fillId="29" borderId="50" xfId="0" applyNumberFormat="1" applyFont="1" applyFill="1" applyBorder="1" applyAlignment="1">
      <alignment horizontal="center" vertical="center"/>
    </xf>
    <xf numFmtId="0" fontId="19" fillId="30" borderId="24" xfId="0" applyFont="1" applyFill="1" applyBorder="1" applyAlignment="1">
      <alignment horizontal="center"/>
    </xf>
    <xf numFmtId="0" fontId="19" fillId="30" borderId="52" xfId="0" applyFont="1" applyFill="1" applyBorder="1" applyAlignment="1">
      <alignment horizontal="center"/>
    </xf>
    <xf numFmtId="0" fontId="19" fillId="30" borderId="20" xfId="0" applyFont="1" applyFill="1" applyBorder="1" applyAlignment="1">
      <alignment horizontal="center"/>
    </xf>
    <xf numFmtId="0" fontId="19" fillId="30" borderId="45" xfId="0" applyFont="1" applyFill="1" applyBorder="1" applyAlignment="1">
      <alignment horizontal="center"/>
    </xf>
  </cellXfs>
  <cellStyles count="4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[0]" xfId="29" builtinId="6"/>
    <cellStyle name="Comma [0] 2" xfId="45" xr:uid="{00000000-0005-0000-0000-00001D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46" xr:uid="{00000000-0005-0000-0000-000028000000}"/>
    <cellStyle name="Normal 2 2" xfId="47" xr:uid="{00000000-0005-0000-0000-000029000000}"/>
    <cellStyle name="Normal 4" xfId="48" xr:uid="{00000000-0005-0000-0000-00002A000000}"/>
    <cellStyle name="Note" xfId="39" builtinId="10" customBuiltin="1"/>
    <cellStyle name="Output" xfId="40" builtinId="21" customBuiltin="1"/>
    <cellStyle name="Percent" xfId="41" builtinId="5"/>
    <cellStyle name="Title" xfId="42" builtinId="15" customBuiltin="1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colors>
    <mruColors>
      <color rgb="FF660066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emenkeu-my.sharepoint.com/Pmon22c2/1bonds_job/debtproject/Apr03/Cash_Balance_update_6Feb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emenkeu-my.sharepoint.com/Pmon22c2/1bonds_job/Documents%20and%20Settings/Administrator/My%20Documents/Yield%20Curve%20Bulanan%20Januari-Jul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emenkeu-my.sharepoint.com/Pmon22c2/RATING-AGENC/Documents%20and%20Settings/Administrator/My%20Documents/Yield%20Curve%20Bulanan%20Januari-Jul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BB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nd Data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nd 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259"/>
  <sheetViews>
    <sheetView showGridLines="0" view="pageBreakPreview" zoomScaleSheetLayoutView="100" workbookViewId="0">
      <pane xSplit="3" ySplit="3" topLeftCell="L226" activePane="bottomRight" state="frozen"/>
      <selection pane="topRight" activeCell="D1" sqref="D1"/>
      <selection pane="bottomLeft" activeCell="A4" sqref="A4"/>
      <selection pane="bottomRight" activeCell="A5" sqref="A5:O10"/>
    </sheetView>
  </sheetViews>
  <sheetFormatPr defaultColWidth="9.26953125" defaultRowHeight="10" x14ac:dyDescent="0.2"/>
  <cols>
    <col min="1" max="2" width="11.26953125" style="2" customWidth="1"/>
    <col min="3" max="3" width="20.7265625" style="2" customWidth="1"/>
    <col min="4" max="4" width="11.26953125" style="2" customWidth="1"/>
    <col min="5" max="9" width="10.7265625" style="2" customWidth="1"/>
    <col min="10" max="11" width="10.26953125" style="2" customWidth="1"/>
    <col min="12" max="12" width="13.453125" style="2" bestFit="1" customWidth="1"/>
    <col min="13" max="13" width="18.26953125" style="2" bestFit="1" customWidth="1"/>
    <col min="14" max="14" width="16.7265625" style="2" customWidth="1"/>
    <col min="15" max="15" width="16" style="2" bestFit="1" customWidth="1"/>
    <col min="16" max="16" width="10.7265625" style="2" customWidth="1"/>
    <col min="17" max="17" width="11.453125" style="2" bestFit="1" customWidth="1"/>
    <col min="18" max="18" width="10" style="2" customWidth="1"/>
    <col min="19" max="20" width="12" style="2" bestFit="1" customWidth="1"/>
    <col min="21" max="24" width="9.26953125" style="2"/>
    <col min="25" max="26" width="10.7265625" style="2" bestFit="1" customWidth="1"/>
    <col min="27" max="28" width="9.7265625" style="2" bestFit="1" customWidth="1"/>
    <col min="29" max="16384" width="9.26953125" style="2"/>
  </cols>
  <sheetData>
    <row r="1" spans="1:28" ht="10.5" x14ac:dyDescent="0.25">
      <c r="A1" s="1" t="s">
        <v>44</v>
      </c>
      <c r="B1" s="1"/>
    </row>
    <row r="3" spans="1:28" ht="30" x14ac:dyDescent="0.2">
      <c r="A3" s="61" t="s">
        <v>0</v>
      </c>
      <c r="B3" s="3" t="s">
        <v>1</v>
      </c>
      <c r="C3" s="4" t="s">
        <v>2</v>
      </c>
      <c r="D3" s="3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3" t="s">
        <v>9</v>
      </c>
      <c r="K3" s="3" t="s">
        <v>10</v>
      </c>
      <c r="L3" s="3" t="s">
        <v>11</v>
      </c>
      <c r="M3" s="4" t="s">
        <v>12</v>
      </c>
      <c r="N3" s="3" t="s">
        <v>13</v>
      </c>
      <c r="O3" s="3" t="s">
        <v>14</v>
      </c>
      <c r="P3" s="5" t="s">
        <v>15</v>
      </c>
      <c r="Q3" s="4" t="s">
        <v>16</v>
      </c>
      <c r="R3" s="51"/>
    </row>
    <row r="4" spans="1:28" ht="9.75" customHeight="1" x14ac:dyDescent="0.25">
      <c r="A4" s="6"/>
      <c r="B4" s="7"/>
      <c r="C4" s="8"/>
      <c r="D4" s="9"/>
      <c r="E4" s="10"/>
      <c r="F4" s="10"/>
      <c r="G4" s="10"/>
      <c r="H4" s="10"/>
      <c r="I4" s="10"/>
      <c r="J4" s="11"/>
      <c r="K4" s="12"/>
      <c r="L4" s="13"/>
      <c r="M4" s="14"/>
      <c r="N4" s="13"/>
      <c r="O4" s="13"/>
      <c r="P4" s="15"/>
      <c r="Q4" s="14"/>
      <c r="R4" s="52"/>
    </row>
    <row r="5" spans="1:28" ht="13.5" customHeight="1" x14ac:dyDescent="0.25">
      <c r="A5" s="16">
        <v>2012</v>
      </c>
      <c r="B5" s="1"/>
      <c r="C5" s="17"/>
      <c r="D5" s="18"/>
      <c r="E5" s="19"/>
      <c r="F5" s="19"/>
      <c r="G5" s="19"/>
      <c r="H5" s="19"/>
      <c r="I5" s="19"/>
      <c r="J5" s="20"/>
      <c r="K5" s="20"/>
      <c r="L5" s="21"/>
      <c r="M5" s="22"/>
      <c r="N5" s="23"/>
      <c r="O5" s="21"/>
      <c r="P5" s="24"/>
      <c r="Q5" s="25"/>
      <c r="R5" s="53"/>
    </row>
    <row r="6" spans="1:28" ht="13.5" customHeight="1" x14ac:dyDescent="0.2">
      <c r="A6" s="58">
        <v>40918</v>
      </c>
      <c r="B6" s="59">
        <v>40920</v>
      </c>
      <c r="C6" s="17" t="s">
        <v>38</v>
      </c>
      <c r="D6" s="18">
        <v>41010</v>
      </c>
      <c r="E6" s="48">
        <v>0</v>
      </c>
      <c r="F6" s="26">
        <v>3.8124999999999999E-2</v>
      </c>
      <c r="G6" s="26">
        <v>4.2510300000000001E-2</v>
      </c>
      <c r="H6" s="26">
        <v>4.6249999999999999E-2</v>
      </c>
      <c r="I6" s="26">
        <v>3.8124999999999999E-2</v>
      </c>
      <c r="J6" s="27">
        <v>3.8699999999999998E-2</v>
      </c>
      <c r="K6" s="27">
        <v>3.9375E-2</v>
      </c>
      <c r="L6" s="21">
        <v>7000000</v>
      </c>
      <c r="M6" s="21">
        <v>5340000</v>
      </c>
      <c r="N6" s="21">
        <v>2100000</v>
      </c>
      <c r="O6" s="21">
        <v>1000000</v>
      </c>
      <c r="P6" s="44">
        <f>M6/O6</f>
        <v>5.34</v>
      </c>
      <c r="Q6" s="54">
        <v>0.04</v>
      </c>
      <c r="R6" s="54"/>
      <c r="S6" s="55">
        <f>O6*J6/$R$10</f>
        <v>39656643.565745413</v>
      </c>
      <c r="T6" s="55"/>
      <c r="Y6" s="38">
        <f>SUM(O6:O127)</f>
        <v>169717805</v>
      </c>
      <c r="Z6" s="38">
        <f>Y6-SUM(O11,O78,O80)</f>
        <v>169717805</v>
      </c>
      <c r="AA6" s="38">
        <f>SUM(O6:O63)</f>
        <v>98372805</v>
      </c>
      <c r="AB6" s="38">
        <f>Z6-AA6</f>
        <v>71345000</v>
      </c>
    </row>
    <row r="7" spans="1:28" ht="13.5" customHeight="1" x14ac:dyDescent="0.2">
      <c r="A7" s="58"/>
      <c r="B7" s="80"/>
      <c r="C7" s="17" t="s">
        <v>37</v>
      </c>
      <c r="D7" s="18">
        <v>41285</v>
      </c>
      <c r="E7" s="48"/>
      <c r="F7" s="26">
        <v>4.2500000000000003E-2</v>
      </c>
      <c r="G7" s="26">
        <v>4.64795E-2</v>
      </c>
      <c r="H7" s="26">
        <v>5.0937499999999997E-2</v>
      </c>
      <c r="I7" s="26">
        <v>4.2500000000000003E-2</v>
      </c>
      <c r="J7" s="27">
        <v>4.4999999999999998E-2</v>
      </c>
      <c r="K7" s="27">
        <v>4.5312499999999999E-2</v>
      </c>
      <c r="L7" s="21"/>
      <c r="M7" s="21">
        <v>8400000</v>
      </c>
      <c r="N7" s="21">
        <v>2350000</v>
      </c>
      <c r="O7" s="21">
        <v>2350000</v>
      </c>
      <c r="P7" s="44">
        <f>M7/O7</f>
        <v>3.5744680851063828</v>
      </c>
      <c r="Q7" s="54">
        <v>4.4999999999999998E-2</v>
      </c>
      <c r="R7" s="54"/>
      <c r="S7" s="55"/>
      <c r="T7" s="55"/>
      <c r="Z7" s="38">
        <v>270419408</v>
      </c>
    </row>
    <row r="8" spans="1:28" ht="13.5" customHeight="1" x14ac:dyDescent="0.25">
      <c r="A8" s="16"/>
      <c r="B8" s="1"/>
      <c r="C8" s="17" t="s">
        <v>34</v>
      </c>
      <c r="D8" s="18">
        <v>42840</v>
      </c>
      <c r="E8" s="26">
        <v>6.25E-2</v>
      </c>
      <c r="F8" s="26">
        <v>5.3749999999999999E-2</v>
      </c>
      <c r="G8" s="26">
        <v>5.5071799999999997E-2</v>
      </c>
      <c r="H8" s="26">
        <v>5.7500000000000002E-2</v>
      </c>
      <c r="I8" s="26">
        <v>5.3749999999999999E-2</v>
      </c>
      <c r="J8" s="27">
        <v>5.4477200000000003E-2</v>
      </c>
      <c r="K8" s="27">
        <v>5.5E-2</v>
      </c>
      <c r="L8" s="21"/>
      <c r="M8" s="21">
        <v>2001000</v>
      </c>
      <c r="N8" s="21">
        <v>800000</v>
      </c>
      <c r="O8" s="21">
        <v>800000</v>
      </c>
      <c r="P8" s="44">
        <f>M8/O8</f>
        <v>2.5012500000000002</v>
      </c>
      <c r="Q8" s="54">
        <v>5.45E-2</v>
      </c>
      <c r="R8" s="54">
        <f>O8*J8/$O$218</f>
        <v>1.6228675337265212E-4</v>
      </c>
      <c r="S8" s="55">
        <f>O8*J8/$R$10</f>
        <v>44659078.095293567</v>
      </c>
      <c r="T8" s="55"/>
      <c r="Z8" s="94">
        <f>Z6/Z7</f>
        <v>0.62760955752110814</v>
      </c>
      <c r="AA8" s="94">
        <f>AA6/Z7</f>
        <v>0.36377864195309534</v>
      </c>
      <c r="AB8" s="94">
        <f>AB6/Z7</f>
        <v>0.2638309155680128</v>
      </c>
    </row>
    <row r="9" spans="1:28" ht="13.5" customHeight="1" x14ac:dyDescent="0.25">
      <c r="A9" s="16"/>
      <c r="B9" s="1"/>
      <c r="C9" s="17" t="s">
        <v>35</v>
      </c>
      <c r="D9" s="18">
        <v>44696</v>
      </c>
      <c r="E9" s="26">
        <v>7.0000000000000007E-2</v>
      </c>
      <c r="F9" s="26">
        <v>6.1874999999999999E-2</v>
      </c>
      <c r="G9" s="26">
        <v>6.2820100000000004E-2</v>
      </c>
      <c r="H9" s="26">
        <v>6.4687499999999995E-2</v>
      </c>
      <c r="I9" s="26">
        <v>6.1874999999999999E-2</v>
      </c>
      <c r="J9" s="27">
        <v>6.2399799999999998E-2</v>
      </c>
      <c r="K9" s="27">
        <v>6.25E-2</v>
      </c>
      <c r="L9" s="21"/>
      <c r="M9" s="21">
        <v>4642000</v>
      </c>
      <c r="N9" s="21">
        <v>2200000</v>
      </c>
      <c r="O9" s="21">
        <v>2200000</v>
      </c>
      <c r="P9" s="44">
        <f>M9/O9</f>
        <v>2.11</v>
      </c>
      <c r="Q9" s="54">
        <v>6.2399999999999997E-2</v>
      </c>
      <c r="R9" s="54">
        <f>O9*J9/$O$218</f>
        <v>5.1119216151037034E-4</v>
      </c>
      <c r="S9" s="55">
        <f>O9*J9/$R$10</f>
        <v>140673038.23727033</v>
      </c>
      <c r="T9" s="55"/>
    </row>
    <row r="10" spans="1:28" ht="13.5" customHeight="1" x14ac:dyDescent="0.25">
      <c r="A10" s="16"/>
      <c r="B10" s="1"/>
      <c r="C10" s="17" t="s">
        <v>32</v>
      </c>
      <c r="D10" s="18">
        <v>48380</v>
      </c>
      <c r="E10" s="26">
        <v>8.2500000000000004E-2</v>
      </c>
      <c r="F10" s="26">
        <v>7.1249999999999994E-2</v>
      </c>
      <c r="G10" s="26">
        <v>7.21778E-2</v>
      </c>
      <c r="H10" s="26">
        <v>7.8125E-2</v>
      </c>
      <c r="I10" s="26">
        <v>7.1249999999999994E-2</v>
      </c>
      <c r="J10" s="27">
        <v>7.17999E-2</v>
      </c>
      <c r="K10" s="27">
        <v>7.2187500000000002E-2</v>
      </c>
      <c r="L10" s="21"/>
      <c r="M10" s="21">
        <v>7286000</v>
      </c>
      <c r="N10" s="21">
        <v>3650000</v>
      </c>
      <c r="O10" s="21">
        <v>3650000</v>
      </c>
      <c r="P10" s="44">
        <f>M10/O10</f>
        <v>1.9961643835616438</v>
      </c>
      <c r="Q10" s="54">
        <v>7.1800000000000003E-2</v>
      </c>
      <c r="R10" s="54">
        <f>O10*J10/$O$218</f>
        <v>9.7587683979963086E-4</v>
      </c>
      <c r="S10" s="55">
        <f>O10*J10/$R$10</f>
        <v>268547858</v>
      </c>
      <c r="T10" s="60">
        <f>SUM(S6:S10)</f>
        <v>493536617.89830929</v>
      </c>
    </row>
    <row r="11" spans="1:28" ht="13.5" customHeight="1" x14ac:dyDescent="0.2">
      <c r="A11" s="68">
        <v>40918</v>
      </c>
      <c r="B11" s="66">
        <v>40925</v>
      </c>
      <c r="C11" s="69" t="s">
        <v>39</v>
      </c>
      <c r="D11" s="70">
        <v>51883</v>
      </c>
      <c r="E11" s="71">
        <v>5.2499999999999998E-2</v>
      </c>
      <c r="F11" s="72"/>
      <c r="G11" s="72"/>
      <c r="H11" s="72"/>
      <c r="I11" s="72"/>
      <c r="J11" s="73"/>
      <c r="K11" s="73"/>
      <c r="L11" s="74">
        <v>22630000</v>
      </c>
      <c r="M11" s="75" t="s">
        <v>41</v>
      </c>
      <c r="N11" s="75" t="s">
        <v>40</v>
      </c>
      <c r="O11" s="75" t="s">
        <v>40</v>
      </c>
      <c r="P11" s="76"/>
      <c r="Q11" s="77"/>
      <c r="R11" s="54"/>
      <c r="U11" s="2">
        <f>3600*U12</f>
        <v>32976000</v>
      </c>
      <c r="V11" s="2">
        <f>U12*1750</f>
        <v>16030000</v>
      </c>
      <c r="W11" s="2">
        <f>U12*1750</f>
        <v>16030000</v>
      </c>
    </row>
    <row r="12" spans="1:28" ht="13.5" customHeight="1" x14ac:dyDescent="0.2">
      <c r="A12" s="58"/>
      <c r="B12" s="59"/>
      <c r="C12" s="17"/>
      <c r="D12" s="18"/>
      <c r="E12" s="67"/>
      <c r="F12" s="62"/>
      <c r="G12" s="62"/>
      <c r="H12" s="62"/>
      <c r="I12" s="62"/>
      <c r="J12" s="27"/>
      <c r="K12" s="27"/>
      <c r="L12" s="63"/>
      <c r="M12" s="63">
        <f>U11</f>
        <v>32976000</v>
      </c>
      <c r="N12" s="63">
        <f>V11</f>
        <v>16030000</v>
      </c>
      <c r="O12" s="63">
        <f>W11</f>
        <v>16030000</v>
      </c>
      <c r="P12" s="64">
        <f t="shared" ref="P12:P17" si="0">M12/O12</f>
        <v>2.0571428571428569</v>
      </c>
      <c r="Q12" s="65"/>
      <c r="R12" s="54">
        <f>O12*J12/$O$218</f>
        <v>0</v>
      </c>
      <c r="U12" s="2">
        <v>9160</v>
      </c>
      <c r="Y12" s="2">
        <v>2009</v>
      </c>
      <c r="Z12" s="2">
        <v>29.73</v>
      </c>
      <c r="AA12" s="2">
        <v>30.35</v>
      </c>
      <c r="AB12" s="2">
        <f>Z12+AA12</f>
        <v>60.08</v>
      </c>
    </row>
    <row r="13" spans="1:28" ht="13.5" customHeight="1" x14ac:dyDescent="0.2">
      <c r="A13" s="81">
        <v>40934</v>
      </c>
      <c r="B13" s="82">
        <v>40938</v>
      </c>
      <c r="C13" s="83" t="s">
        <v>42</v>
      </c>
      <c r="D13" s="84">
        <v>41028</v>
      </c>
      <c r="E13" s="85">
        <v>0</v>
      </c>
      <c r="F13" s="86">
        <v>1.7500000000000002E-2</v>
      </c>
      <c r="G13" s="86">
        <v>2.8961600000000001E-2</v>
      </c>
      <c r="H13" s="86">
        <v>4.6875E-2</v>
      </c>
      <c r="I13" s="86">
        <v>1.7500000000000002E-2</v>
      </c>
      <c r="J13" s="87">
        <v>1.92383E-2</v>
      </c>
      <c r="K13" s="87">
        <v>2.1874999999999999E-2</v>
      </c>
      <c r="L13" s="88">
        <v>7000000</v>
      </c>
      <c r="M13" s="88">
        <v>12480000</v>
      </c>
      <c r="N13" s="88">
        <v>10550000</v>
      </c>
      <c r="O13" s="88">
        <v>800000</v>
      </c>
      <c r="P13" s="89">
        <f t="shared" si="0"/>
        <v>15.6</v>
      </c>
      <c r="Q13" s="90">
        <v>2.75E-2</v>
      </c>
      <c r="R13" s="54"/>
      <c r="S13" s="55">
        <f>O13*J13/$R$10</f>
        <v>15771088.494281758</v>
      </c>
      <c r="T13" s="55"/>
      <c r="Y13" s="2">
        <v>2010</v>
      </c>
      <c r="Z13" s="2">
        <v>34.630000000000003</v>
      </c>
      <c r="AA13" s="2">
        <v>35.58</v>
      </c>
      <c r="AB13" s="2">
        <f>Z13+AA13</f>
        <v>70.210000000000008</v>
      </c>
    </row>
    <row r="14" spans="1:28" ht="13.5" customHeight="1" x14ac:dyDescent="0.25">
      <c r="A14" s="92"/>
      <c r="B14" s="91"/>
      <c r="C14" s="83" t="s">
        <v>37</v>
      </c>
      <c r="D14" s="84">
        <v>41285</v>
      </c>
      <c r="E14" s="85">
        <v>0</v>
      </c>
      <c r="F14" s="86">
        <v>3.3750000000000002E-2</v>
      </c>
      <c r="G14" s="86">
        <v>3.8882899999999998E-2</v>
      </c>
      <c r="H14" s="86">
        <v>4.2500000000000003E-2</v>
      </c>
      <c r="I14" s="86">
        <v>3.3750000000000002E-2</v>
      </c>
      <c r="J14" s="87">
        <v>3.3750000000000002E-2</v>
      </c>
      <c r="K14" s="87">
        <v>3.3750000000000002E-2</v>
      </c>
      <c r="L14" s="88"/>
      <c r="M14" s="88">
        <v>12295000</v>
      </c>
      <c r="N14" s="88">
        <v>2000000</v>
      </c>
      <c r="O14" s="88">
        <v>1000000</v>
      </c>
      <c r="P14" s="89">
        <f t="shared" si="0"/>
        <v>12.295</v>
      </c>
      <c r="Q14" s="90">
        <v>3.5000000000000003E-2</v>
      </c>
      <c r="R14" s="54"/>
      <c r="S14" s="55"/>
      <c r="T14" s="55"/>
      <c r="Y14" s="2">
        <v>2011</v>
      </c>
      <c r="Z14" s="2">
        <v>29.53</v>
      </c>
      <c r="AA14" s="2">
        <v>25.94</v>
      </c>
      <c r="AB14" s="2">
        <f>Z14+AA14</f>
        <v>55.47</v>
      </c>
    </row>
    <row r="15" spans="1:28" ht="13.5" customHeight="1" x14ac:dyDescent="0.25">
      <c r="A15" s="92"/>
      <c r="B15" s="93"/>
      <c r="C15" s="83" t="s">
        <v>35</v>
      </c>
      <c r="D15" s="84">
        <v>44696</v>
      </c>
      <c r="E15" s="86">
        <v>7.0000000000000007E-2</v>
      </c>
      <c r="F15" s="86">
        <v>5.5E-2</v>
      </c>
      <c r="G15" s="86">
        <v>5.6320200000000001E-2</v>
      </c>
      <c r="H15" s="86">
        <v>5.7500000000000002E-2</v>
      </c>
      <c r="I15" s="86">
        <v>5.5E-2</v>
      </c>
      <c r="J15" s="87">
        <v>5.5782100000000001E-2</v>
      </c>
      <c r="K15" s="87">
        <v>5.5937500000000001E-2</v>
      </c>
      <c r="L15" s="88"/>
      <c r="M15" s="88">
        <v>6109000</v>
      </c>
      <c r="N15" s="88">
        <v>3600000</v>
      </c>
      <c r="O15" s="88">
        <v>2100000</v>
      </c>
      <c r="P15" s="89">
        <f t="shared" si="0"/>
        <v>2.9090476190476191</v>
      </c>
      <c r="Q15" s="90">
        <v>5.6000000000000001E-2</v>
      </c>
      <c r="R15" s="54">
        <f>O15*J15/$O$218</f>
        <v>4.3620683059032256E-4</v>
      </c>
      <c r="S15" s="55">
        <f>O15*J15/$R$10</f>
        <v>120038108.52202614</v>
      </c>
      <c r="T15" s="55"/>
      <c r="Y15" s="2">
        <v>2012</v>
      </c>
      <c r="AB15" s="2">
        <v>62.76</v>
      </c>
    </row>
    <row r="16" spans="1:28" ht="13.5" customHeight="1" x14ac:dyDescent="0.25">
      <c r="A16" s="92"/>
      <c r="B16" s="93"/>
      <c r="C16" s="83" t="s">
        <v>43</v>
      </c>
      <c r="D16" s="84">
        <v>46522</v>
      </c>
      <c r="E16" s="86">
        <v>7.0000000000000007E-2</v>
      </c>
      <c r="F16" s="86">
        <v>6.1249999999999999E-2</v>
      </c>
      <c r="G16" s="86">
        <v>6.2487399999999999E-2</v>
      </c>
      <c r="H16" s="86">
        <v>6.4687499999999995E-2</v>
      </c>
      <c r="I16" s="86">
        <v>6.1249999999999999E-2</v>
      </c>
      <c r="J16" s="87">
        <v>6.1973399999999998E-2</v>
      </c>
      <c r="K16" s="87">
        <v>6.25E-2</v>
      </c>
      <c r="L16" s="88"/>
      <c r="M16" s="88">
        <v>7421000</v>
      </c>
      <c r="N16" s="88">
        <v>3550000</v>
      </c>
      <c r="O16" s="88">
        <v>3400000</v>
      </c>
      <c r="P16" s="89">
        <f t="shared" si="0"/>
        <v>2.1826470588235294</v>
      </c>
      <c r="Q16" s="90">
        <v>6.2E-2</v>
      </c>
      <c r="R16" s="54">
        <f>O16*J16/$O$218</f>
        <v>7.8462573326501821E-4</v>
      </c>
      <c r="S16" s="55">
        <f>O16*J16/$R$10</f>
        <v>215918189.06498832</v>
      </c>
      <c r="T16" s="55"/>
      <c r="Y16" s="2">
        <v>2013</v>
      </c>
      <c r="AB16" s="2">
        <f>AVERAGE(AB12:AB15)</f>
        <v>62.13</v>
      </c>
    </row>
    <row r="17" spans="1:20" ht="13.5" customHeight="1" x14ac:dyDescent="0.25">
      <c r="A17" s="92"/>
      <c r="B17" s="93"/>
      <c r="C17" s="83" t="s">
        <v>32</v>
      </c>
      <c r="D17" s="84">
        <v>48380</v>
      </c>
      <c r="E17" s="86">
        <v>8.2500000000000004E-2</v>
      </c>
      <c r="F17" s="86">
        <v>5.7500000000000002E-2</v>
      </c>
      <c r="G17" s="86">
        <v>6.7082199999999995E-2</v>
      </c>
      <c r="H17" s="86">
        <v>6.8750000000000006E-2</v>
      </c>
      <c r="I17" s="86">
        <v>5.7500000000000002E-2</v>
      </c>
      <c r="J17" s="87">
        <v>6.64907E-2</v>
      </c>
      <c r="K17" s="87">
        <v>6.6562499999999997E-2</v>
      </c>
      <c r="L17" s="88"/>
      <c r="M17" s="88">
        <v>11829500</v>
      </c>
      <c r="N17" s="88">
        <v>5300000</v>
      </c>
      <c r="O17" s="88">
        <v>3200000</v>
      </c>
      <c r="P17" s="89">
        <f t="shared" si="0"/>
        <v>3.6967187500000001</v>
      </c>
      <c r="Q17" s="90">
        <v>6.6600000000000006E-2</v>
      </c>
      <c r="R17" s="54">
        <f>O17*J17/$O$218</f>
        <v>7.9229915138626799E-4</v>
      </c>
      <c r="S17" s="55">
        <f>O17*J17/$R$10</f>
        <v>218029807.98651439</v>
      </c>
      <c r="T17" s="60">
        <f>SUM(S13:S17)</f>
        <v>569757194.06781054</v>
      </c>
    </row>
    <row r="18" spans="1:20" ht="13.5" customHeight="1" x14ac:dyDescent="0.2">
      <c r="A18" s="58">
        <v>40939</v>
      </c>
      <c r="B18" s="59">
        <v>40941</v>
      </c>
      <c r="C18" s="17" t="s">
        <v>48</v>
      </c>
      <c r="D18" s="18">
        <v>43115</v>
      </c>
      <c r="E18" s="48">
        <v>0</v>
      </c>
      <c r="F18" s="26">
        <v>5.1874999999999998E-2</v>
      </c>
      <c r="G18" s="26"/>
      <c r="H18" s="26">
        <v>6.6250000000000003E-2</v>
      </c>
      <c r="I18" s="26"/>
      <c r="J18" s="27"/>
      <c r="K18" s="27"/>
      <c r="L18" s="21">
        <v>1000000</v>
      </c>
      <c r="M18" s="21">
        <v>573000</v>
      </c>
      <c r="N18" s="21"/>
      <c r="O18" s="21"/>
      <c r="P18" s="44"/>
      <c r="Q18" s="54"/>
      <c r="R18" s="54"/>
      <c r="S18" s="55">
        <f>O18*J18/$R$10</f>
        <v>0</v>
      </c>
      <c r="T18" s="55"/>
    </row>
    <row r="19" spans="1:20" ht="13.5" customHeight="1" x14ac:dyDescent="0.2">
      <c r="A19" s="58"/>
      <c r="B19" s="80"/>
      <c r="C19" s="17" t="s">
        <v>49</v>
      </c>
      <c r="D19" s="18">
        <v>44576</v>
      </c>
      <c r="E19" s="48"/>
      <c r="F19" s="26">
        <v>5.5E-2</v>
      </c>
      <c r="G19" s="26"/>
      <c r="H19" s="26">
        <v>6.5000000000000002E-2</v>
      </c>
      <c r="I19" s="26">
        <v>5.5E-2</v>
      </c>
      <c r="J19" s="27">
        <v>5.5379499999999998E-2</v>
      </c>
      <c r="K19" s="27"/>
      <c r="L19" s="21"/>
      <c r="M19" s="21">
        <v>536000</v>
      </c>
      <c r="N19" s="21">
        <v>415000</v>
      </c>
      <c r="O19" s="21">
        <v>415000</v>
      </c>
      <c r="P19" s="44">
        <f t="shared" ref="P19:P26" si="1">M19/O19</f>
        <v>1.2915662650602409</v>
      </c>
      <c r="Q19" s="54"/>
      <c r="R19" s="54"/>
      <c r="S19" s="55"/>
      <c r="T19" s="55"/>
    </row>
    <row r="20" spans="1:20" ht="13.5" customHeight="1" x14ac:dyDescent="0.25">
      <c r="A20" s="16"/>
      <c r="B20" s="1"/>
      <c r="C20" s="17" t="s">
        <v>50</v>
      </c>
      <c r="D20" s="18">
        <v>46402</v>
      </c>
      <c r="E20" s="26"/>
      <c r="F20" s="26">
        <v>6.0624999999999998E-2</v>
      </c>
      <c r="G20" s="26"/>
      <c r="H20" s="26">
        <v>7.0624999999999993E-2</v>
      </c>
      <c r="I20" s="26">
        <v>6.0624999999999998E-2</v>
      </c>
      <c r="J20" s="27">
        <v>6.2141200000000001E-2</v>
      </c>
      <c r="K20" s="27"/>
      <c r="L20" s="21"/>
      <c r="M20" s="21">
        <v>1391000</v>
      </c>
      <c r="N20" s="21">
        <v>510000</v>
      </c>
      <c r="O20" s="21">
        <v>510000</v>
      </c>
      <c r="P20" s="44">
        <f t="shared" si="1"/>
        <v>2.7274509803921569</v>
      </c>
      <c r="Q20" s="54"/>
      <c r="R20" s="54">
        <f>O20*J20/$O$218</f>
        <v>1.1801252944642738E-4</v>
      </c>
      <c r="S20" s="55">
        <f>O20*J20/$R$10</f>
        <v>32475421.802721612</v>
      </c>
      <c r="T20" s="55"/>
    </row>
    <row r="21" spans="1:20" ht="13.5" customHeight="1" x14ac:dyDescent="0.25">
      <c r="A21" s="16"/>
      <c r="B21" s="1"/>
      <c r="C21" s="17" t="s">
        <v>51</v>
      </c>
      <c r="D21" s="18">
        <v>49720</v>
      </c>
      <c r="E21" s="26">
        <v>0.1</v>
      </c>
      <c r="F21" s="26">
        <v>6.5625000000000003E-2</v>
      </c>
      <c r="G21" s="26"/>
      <c r="H21" s="26">
        <v>7.4999999999999997E-2</v>
      </c>
      <c r="I21" s="26">
        <v>6.5625000000000003E-2</v>
      </c>
      <c r="J21" s="27">
        <v>6.8074800000000005E-2</v>
      </c>
      <c r="K21" s="27"/>
      <c r="L21" s="21"/>
      <c r="M21" s="21">
        <v>1676000</v>
      </c>
      <c r="N21" s="21">
        <v>400000</v>
      </c>
      <c r="O21" s="21">
        <v>400000</v>
      </c>
      <c r="P21" s="44">
        <f t="shared" si="1"/>
        <v>4.1900000000000004</v>
      </c>
      <c r="Q21" s="54"/>
      <c r="R21" s="54">
        <f>O21*J21/$O$218</f>
        <v>1.0139689887230455E-4</v>
      </c>
      <c r="S21" s="55">
        <f>O21*J21/$R$10</f>
        <v>27903029.244541667</v>
      </c>
      <c r="T21" s="55"/>
    </row>
    <row r="22" spans="1:20" ht="13.5" customHeight="1" x14ac:dyDescent="0.2">
      <c r="A22" s="81">
        <v>40946</v>
      </c>
      <c r="B22" s="82">
        <v>40948</v>
      </c>
      <c r="C22" s="83" t="s">
        <v>45</v>
      </c>
      <c r="D22" s="84">
        <v>41037</v>
      </c>
      <c r="E22" s="85">
        <v>0</v>
      </c>
      <c r="F22" s="86">
        <v>1.4999999999999999E-2</v>
      </c>
      <c r="G22" s="86">
        <v>1.99528E-2</v>
      </c>
      <c r="H22" s="86">
        <v>3.2500000000000001E-2</v>
      </c>
      <c r="I22" s="86">
        <v>1.4999999999999999E-2</v>
      </c>
      <c r="J22" s="87">
        <v>1.6862499999999999E-2</v>
      </c>
      <c r="K22" s="87">
        <v>1.90625E-2</v>
      </c>
      <c r="L22" s="88">
        <v>8000000</v>
      </c>
      <c r="M22" s="88">
        <v>4535000</v>
      </c>
      <c r="N22" s="88">
        <v>4535000</v>
      </c>
      <c r="O22" s="88">
        <v>1000000</v>
      </c>
      <c r="P22" s="89">
        <f t="shared" si="1"/>
        <v>4.5350000000000001</v>
      </c>
      <c r="Q22" s="90">
        <v>0.02</v>
      </c>
      <c r="R22" s="54"/>
      <c r="S22" s="55">
        <f>O22*J22/$R$10</f>
        <v>17279332.09631478</v>
      </c>
      <c r="T22" s="55"/>
    </row>
    <row r="23" spans="1:20" ht="13.5" customHeight="1" x14ac:dyDescent="0.25">
      <c r="A23" s="92"/>
      <c r="B23" s="91"/>
      <c r="C23" s="83" t="s">
        <v>46</v>
      </c>
      <c r="D23" s="84">
        <v>41313</v>
      </c>
      <c r="E23" s="85">
        <v>0</v>
      </c>
      <c r="F23" s="86">
        <v>0.03</v>
      </c>
      <c r="G23" s="86">
        <v>3.3719499999999999E-2</v>
      </c>
      <c r="H23" s="86">
        <v>4.4374999999999998E-2</v>
      </c>
      <c r="I23" s="86">
        <v>0.03</v>
      </c>
      <c r="J23" s="87">
        <v>3.0232100000000001E-2</v>
      </c>
      <c r="K23" s="87">
        <v>3.125E-2</v>
      </c>
      <c r="L23" s="88"/>
      <c r="M23" s="88">
        <v>6075000</v>
      </c>
      <c r="N23" s="88">
        <v>6075000</v>
      </c>
      <c r="O23" s="88">
        <v>1000000</v>
      </c>
      <c r="P23" s="89">
        <f t="shared" si="1"/>
        <v>6.0750000000000002</v>
      </c>
      <c r="Q23" s="90">
        <v>3.5000000000000003E-2</v>
      </c>
      <c r="R23" s="54"/>
      <c r="S23" s="55"/>
      <c r="T23" s="55"/>
    </row>
    <row r="24" spans="1:20" ht="13.5" customHeight="1" x14ac:dyDescent="0.25">
      <c r="A24" s="92"/>
      <c r="B24" s="93"/>
      <c r="C24" s="83" t="s">
        <v>43</v>
      </c>
      <c r="D24" s="84">
        <v>46522</v>
      </c>
      <c r="E24" s="86">
        <v>7.0000000000000007E-2</v>
      </c>
      <c r="F24" s="86">
        <v>5.6562500000000002E-2</v>
      </c>
      <c r="G24" s="86">
        <v>5.7902200000000001E-2</v>
      </c>
      <c r="H24" s="86">
        <v>5.9062499999999997E-2</v>
      </c>
      <c r="I24" s="86">
        <v>5.6562500000000002E-2</v>
      </c>
      <c r="J24" s="87">
        <v>5.7464300000000003E-2</v>
      </c>
      <c r="K24" s="87">
        <v>5.7500000000000002E-2</v>
      </c>
      <c r="L24" s="88"/>
      <c r="M24" s="88">
        <v>8177000</v>
      </c>
      <c r="N24" s="88">
        <v>4100000</v>
      </c>
      <c r="O24" s="88">
        <v>3450000</v>
      </c>
      <c r="P24" s="89">
        <f t="shared" si="1"/>
        <v>2.3701449275362321</v>
      </c>
      <c r="Q24" s="90">
        <v>5.7500000000000002E-2</v>
      </c>
      <c r="R24" s="54">
        <f>O24*J24/$O$24</f>
        <v>5.7464300000000003E-2</v>
      </c>
      <c r="S24" s="55">
        <f>O24*J24/$R$10</f>
        <v>203152515.68087783</v>
      </c>
      <c r="T24" s="55"/>
    </row>
    <row r="25" spans="1:20" ht="13.5" customHeight="1" x14ac:dyDescent="0.25">
      <c r="A25" s="92"/>
      <c r="B25" s="93"/>
      <c r="C25" s="83" t="s">
        <v>32</v>
      </c>
      <c r="D25" s="84">
        <v>48380</v>
      </c>
      <c r="E25" s="86">
        <v>8.2500000000000004E-2</v>
      </c>
      <c r="F25" s="86">
        <v>6.1249999999999999E-2</v>
      </c>
      <c r="G25" s="86">
        <v>6.2410500000000001E-2</v>
      </c>
      <c r="H25" s="86">
        <v>6.4687499999999995E-2</v>
      </c>
      <c r="I25" s="86">
        <v>6.1249999999999999E-2</v>
      </c>
      <c r="J25" s="87">
        <v>6.1781299999999997E-2</v>
      </c>
      <c r="K25" s="87">
        <v>6.1874999999999999E-2</v>
      </c>
      <c r="L25" s="88"/>
      <c r="M25" s="88">
        <v>9233500</v>
      </c>
      <c r="N25" s="88">
        <v>7350000</v>
      </c>
      <c r="O25" s="88">
        <v>2000000</v>
      </c>
      <c r="P25" s="89">
        <f t="shared" si="1"/>
        <v>4.6167499999999997</v>
      </c>
      <c r="Q25" s="90">
        <v>6.2199999999999998E-2</v>
      </c>
      <c r="R25" s="54">
        <f>O25*J25/$O$24</f>
        <v>3.5815246376811591E-2</v>
      </c>
      <c r="S25" s="55">
        <f>O25*J25/$R$10</f>
        <v>126617002.2288572</v>
      </c>
      <c r="T25" s="55"/>
    </row>
    <row r="26" spans="1:20" ht="13.5" customHeight="1" x14ac:dyDescent="0.25">
      <c r="A26" s="92"/>
      <c r="B26" s="93"/>
      <c r="C26" s="83" t="s">
        <v>47</v>
      </c>
      <c r="D26" s="84">
        <v>51971</v>
      </c>
      <c r="E26" s="86">
        <v>6.3750000000000001E-2</v>
      </c>
      <c r="F26" s="86">
        <v>6.3125000000000001E-2</v>
      </c>
      <c r="G26" s="86">
        <v>6.5730700000000003E-2</v>
      </c>
      <c r="H26" s="86">
        <v>7.0000000000000007E-2</v>
      </c>
      <c r="I26" s="86">
        <v>6.3125000000000001E-2</v>
      </c>
      <c r="J26" s="87">
        <v>6.4899399999999996E-2</v>
      </c>
      <c r="K26" s="87">
        <v>6.5000000000000002E-2</v>
      </c>
      <c r="L26" s="88"/>
      <c r="M26" s="88">
        <v>14362500</v>
      </c>
      <c r="N26" s="88">
        <v>6000000</v>
      </c>
      <c r="O26" s="88">
        <v>4550000</v>
      </c>
      <c r="P26" s="89">
        <f t="shared" si="1"/>
        <v>3.1565934065934065</v>
      </c>
      <c r="Q26" s="90">
        <v>6.5000000000000002E-2</v>
      </c>
      <c r="R26" s="54">
        <f>O26*J26/$O$24</f>
        <v>8.5591962318840573E-2</v>
      </c>
      <c r="S26" s="55">
        <f>O26*J26/$R$10</f>
        <v>302591738.99508673</v>
      </c>
      <c r="T26" s="60">
        <f>SUM(S22:S26)</f>
        <v>649640589.00113654</v>
      </c>
    </row>
    <row r="27" spans="1:20" ht="13.5" customHeight="1" x14ac:dyDescent="0.2">
      <c r="A27" s="58">
        <v>40953</v>
      </c>
      <c r="B27" s="59">
        <v>40955</v>
      </c>
      <c r="C27" s="17" t="s">
        <v>52</v>
      </c>
      <c r="D27" s="18"/>
      <c r="E27" s="48">
        <v>0</v>
      </c>
      <c r="F27" s="26">
        <v>3.7187499999999998E-2</v>
      </c>
      <c r="G27" s="26"/>
      <c r="H27" s="26">
        <v>4.2500000000000003E-2</v>
      </c>
      <c r="I27" s="26"/>
      <c r="J27" s="27"/>
      <c r="K27" s="27"/>
      <c r="L27" s="21">
        <v>1000000</v>
      </c>
      <c r="M27" s="21">
        <v>2331000</v>
      </c>
      <c r="N27" s="21"/>
      <c r="O27" s="21"/>
      <c r="P27" s="44"/>
      <c r="Q27" s="54"/>
      <c r="R27" s="54"/>
      <c r="S27" s="55">
        <f>O27*J27/$R$10</f>
        <v>0</v>
      </c>
      <c r="T27" s="55"/>
    </row>
    <row r="28" spans="1:20" ht="13.5" customHeight="1" x14ac:dyDescent="0.2">
      <c r="A28" s="58"/>
      <c r="B28" s="80"/>
      <c r="C28" s="17" t="s">
        <v>48</v>
      </c>
      <c r="D28" s="18">
        <v>43146</v>
      </c>
      <c r="E28" s="95">
        <v>4.4499999999999998E-2</v>
      </c>
      <c r="F28" s="26">
        <v>4.71875E-2</v>
      </c>
      <c r="G28" s="26"/>
      <c r="H28" s="26">
        <v>4.65625E-2</v>
      </c>
      <c r="I28" s="26">
        <v>4.71875E-2</v>
      </c>
      <c r="J28" s="26">
        <v>4.71875E-2</v>
      </c>
      <c r="K28" s="27"/>
      <c r="L28" s="21"/>
      <c r="M28" s="21">
        <v>246000</v>
      </c>
      <c r="N28" s="21">
        <v>25000</v>
      </c>
      <c r="O28" s="21">
        <v>25000</v>
      </c>
      <c r="P28" s="44">
        <f t="shared" ref="P28:P37" si="2">M28/O28</f>
        <v>9.84</v>
      </c>
      <c r="Q28" s="54"/>
      <c r="R28" s="54"/>
      <c r="S28" s="55"/>
      <c r="T28" s="55"/>
    </row>
    <row r="29" spans="1:20" ht="13.5" customHeight="1" x14ac:dyDescent="0.25">
      <c r="A29" s="16"/>
      <c r="B29" s="1"/>
      <c r="C29" s="17" t="s">
        <v>49</v>
      </c>
      <c r="D29" s="18">
        <v>44576</v>
      </c>
      <c r="E29" s="48"/>
      <c r="F29" s="26">
        <v>5.3124999999999999E-2</v>
      </c>
      <c r="G29" s="26"/>
      <c r="H29" s="26">
        <v>5.7500000000000002E-2</v>
      </c>
      <c r="I29" s="26"/>
      <c r="J29" s="27"/>
      <c r="K29" s="27"/>
      <c r="L29" s="21"/>
      <c r="M29" s="21">
        <v>219000</v>
      </c>
      <c r="N29" s="21"/>
      <c r="O29" s="21"/>
      <c r="P29" s="44"/>
      <c r="Q29" s="54"/>
      <c r="R29" s="54">
        <f>O29*J29/$O$218</f>
        <v>0</v>
      </c>
      <c r="S29" s="55">
        <f>O29*J29/$R$10</f>
        <v>0</v>
      </c>
      <c r="T29" s="55"/>
    </row>
    <row r="30" spans="1:20" ht="13.5" customHeight="1" x14ac:dyDescent="0.25">
      <c r="A30" s="16"/>
      <c r="B30" s="1"/>
      <c r="C30" s="17" t="s">
        <v>50</v>
      </c>
      <c r="D30" s="18">
        <v>46402</v>
      </c>
      <c r="E30" s="26">
        <v>0.06</v>
      </c>
      <c r="F30" s="26">
        <v>5.7187500000000002E-2</v>
      </c>
      <c r="G30" s="26"/>
      <c r="H30" s="26">
        <v>6.3125000000000001E-2</v>
      </c>
      <c r="I30" s="26">
        <v>5.7187500000000002E-2</v>
      </c>
      <c r="J30" s="27">
        <v>5.7500000000000002E-2</v>
      </c>
      <c r="K30" s="27"/>
      <c r="L30" s="21"/>
      <c r="M30" s="21">
        <v>476000</v>
      </c>
      <c r="N30" s="21">
        <v>100000</v>
      </c>
      <c r="O30" s="21">
        <v>100000</v>
      </c>
      <c r="P30" s="44">
        <f t="shared" si="2"/>
        <v>4.76</v>
      </c>
      <c r="Q30" s="54"/>
      <c r="R30" s="54"/>
      <c r="S30" s="55"/>
      <c r="T30" s="55"/>
    </row>
    <row r="31" spans="1:20" ht="13.5" customHeight="1" x14ac:dyDescent="0.25">
      <c r="A31" s="16"/>
      <c r="B31" s="1"/>
      <c r="C31" s="17" t="s">
        <v>53</v>
      </c>
      <c r="D31" s="18">
        <v>50086</v>
      </c>
      <c r="E31" s="26">
        <v>6.0999999999999999E-2</v>
      </c>
      <c r="F31" s="26">
        <v>6.1562499999999999E-2</v>
      </c>
      <c r="G31" s="26"/>
      <c r="H31" s="26">
        <v>7.0000000000000007E-2</v>
      </c>
      <c r="I31" s="26">
        <v>6.1562499999999999E-2</v>
      </c>
      <c r="J31" s="27">
        <v>6.2482999999999997E-2</v>
      </c>
      <c r="K31" s="27"/>
      <c r="L31" s="21"/>
      <c r="M31" s="21">
        <v>3784000</v>
      </c>
      <c r="N31" s="21">
        <v>2050000</v>
      </c>
      <c r="O31" s="21">
        <v>2050000</v>
      </c>
      <c r="P31" s="44">
        <f t="shared" si="2"/>
        <v>1.8458536585365855</v>
      </c>
      <c r="Q31" s="54"/>
      <c r="R31" s="54">
        <f>O31*J31/$O$218</f>
        <v>4.7697327006793698E-4</v>
      </c>
      <c r="S31" s="55">
        <f>O31*J31/$R$10</f>
        <v>131256470.87423423</v>
      </c>
      <c r="T31" s="55"/>
    </row>
    <row r="32" spans="1:20" ht="13.5" customHeight="1" x14ac:dyDescent="0.2">
      <c r="A32" s="81">
        <v>40960</v>
      </c>
      <c r="B32" s="82">
        <v>40962</v>
      </c>
      <c r="C32" s="83" t="s">
        <v>54</v>
      </c>
      <c r="D32" s="84">
        <v>41051</v>
      </c>
      <c r="E32" s="85">
        <v>0</v>
      </c>
      <c r="F32" s="86">
        <v>2.0937500000000001E-2</v>
      </c>
      <c r="G32" s="86">
        <v>2.6657799999999999E-2</v>
      </c>
      <c r="H32" s="86">
        <v>3.5000000000000003E-2</v>
      </c>
      <c r="I32" s="86">
        <v>2.0937500000000001E-2</v>
      </c>
      <c r="J32" s="87">
        <v>2.2009399999999998E-2</v>
      </c>
      <c r="K32" s="87">
        <v>2.3125E-2</v>
      </c>
      <c r="L32" s="88">
        <v>8000000</v>
      </c>
      <c r="M32" s="88">
        <v>2360000</v>
      </c>
      <c r="N32" s="88">
        <v>1200000</v>
      </c>
      <c r="O32" s="88">
        <v>1000000</v>
      </c>
      <c r="P32" s="89">
        <f t="shared" si="2"/>
        <v>2.36</v>
      </c>
      <c r="Q32" s="90">
        <v>2.2599999999999999E-2</v>
      </c>
      <c r="R32" s="54"/>
      <c r="S32" s="55">
        <f>O32*J32/$R$10</f>
        <v>22553460.746664524</v>
      </c>
      <c r="T32" s="55"/>
    </row>
    <row r="33" spans="1:20" ht="13.5" customHeight="1" x14ac:dyDescent="0.25">
      <c r="A33" s="92"/>
      <c r="B33" s="91"/>
      <c r="C33" s="83" t="s">
        <v>55</v>
      </c>
      <c r="D33" s="84">
        <v>41285</v>
      </c>
      <c r="E33" s="85">
        <v>0</v>
      </c>
      <c r="F33" s="86">
        <v>3.125E-2</v>
      </c>
      <c r="G33" s="86">
        <v>3.5607899999999998E-2</v>
      </c>
      <c r="H33" s="86">
        <v>0.04</v>
      </c>
      <c r="I33" s="86">
        <v>3.125E-2</v>
      </c>
      <c r="J33" s="87">
        <v>3.31667E-2</v>
      </c>
      <c r="K33" s="87">
        <v>3.3750000000000002E-2</v>
      </c>
      <c r="L33" s="88"/>
      <c r="M33" s="88">
        <v>3380000</v>
      </c>
      <c r="N33" s="88">
        <v>750000</v>
      </c>
      <c r="O33" s="88">
        <v>750000</v>
      </c>
      <c r="P33" s="89">
        <f t="shared" si="2"/>
        <v>4.5066666666666668</v>
      </c>
      <c r="Q33" s="90">
        <v>3.32E-2</v>
      </c>
      <c r="R33" s="54"/>
      <c r="S33" s="55"/>
      <c r="T33" s="55"/>
    </row>
    <row r="34" spans="1:20" ht="13.5" customHeight="1" x14ac:dyDescent="0.25">
      <c r="A34" s="92"/>
      <c r="B34" s="93"/>
      <c r="C34" s="83" t="s">
        <v>35</v>
      </c>
      <c r="D34" s="84">
        <v>44696</v>
      </c>
      <c r="E34" s="86">
        <v>7.0000000000000007E-2</v>
      </c>
      <c r="F34" s="86">
        <v>5.1562499999999997E-2</v>
      </c>
      <c r="G34" s="86">
        <v>5.2656099999999997E-2</v>
      </c>
      <c r="H34" s="86">
        <v>5.3749999999999999E-2</v>
      </c>
      <c r="I34" s="86">
        <v>5.1562499999999997E-2</v>
      </c>
      <c r="J34" s="87">
        <v>5.2357800000000003E-2</v>
      </c>
      <c r="K34" s="87">
        <v>5.2499999999999998E-2</v>
      </c>
      <c r="L34" s="88"/>
      <c r="M34" s="88">
        <v>4294000</v>
      </c>
      <c r="N34" s="88">
        <v>2150000</v>
      </c>
      <c r="O34" s="88">
        <v>1950000</v>
      </c>
      <c r="P34" s="89">
        <f t="shared" si="2"/>
        <v>2.2020512820512819</v>
      </c>
      <c r="Q34" s="90">
        <v>5.2400000000000002E-2</v>
      </c>
      <c r="R34" s="54" t="e">
        <f>O34*J34/$O$29</f>
        <v>#DIV/0!</v>
      </c>
      <c r="S34" s="55">
        <f>O34*J34/$R$10</f>
        <v>104621511.48188221</v>
      </c>
      <c r="T34" s="55"/>
    </row>
    <row r="35" spans="1:20" ht="13.5" customHeight="1" x14ac:dyDescent="0.25">
      <c r="A35" s="92"/>
      <c r="B35" s="93"/>
      <c r="C35" s="83" t="s">
        <v>32</v>
      </c>
      <c r="D35" s="84">
        <v>48380</v>
      </c>
      <c r="E35" s="86">
        <v>8.2500000000000004E-2</v>
      </c>
      <c r="F35" s="86">
        <v>6.0624999999999998E-2</v>
      </c>
      <c r="G35" s="86">
        <v>6.1441099999999998E-2</v>
      </c>
      <c r="H35" s="86">
        <v>6.25E-2</v>
      </c>
      <c r="I35" s="86">
        <v>6.0624999999999998E-2</v>
      </c>
      <c r="J35" s="87">
        <v>6.09974E-2</v>
      </c>
      <c r="K35" s="87">
        <v>6.1249999999999999E-2</v>
      </c>
      <c r="L35" s="88"/>
      <c r="M35" s="88">
        <v>5631000</v>
      </c>
      <c r="N35" s="88">
        <v>2600000</v>
      </c>
      <c r="O35" s="88">
        <v>2600000</v>
      </c>
      <c r="P35" s="89">
        <f t="shared" si="2"/>
        <v>2.1657692307692309</v>
      </c>
      <c r="Q35" s="90">
        <v>6.0999999999999999E-2</v>
      </c>
      <c r="R35" s="54" t="e">
        <f>O35*J35/$O$29</f>
        <v>#DIV/0!</v>
      </c>
      <c r="S35" s="55">
        <f>O35*J35/$R$10</f>
        <v>162513581.15288678</v>
      </c>
      <c r="T35" s="55"/>
    </row>
    <row r="36" spans="1:20" ht="13.5" customHeight="1" x14ac:dyDescent="0.25">
      <c r="A36" s="92"/>
      <c r="B36" s="93"/>
      <c r="C36" s="83" t="s">
        <v>47</v>
      </c>
      <c r="D36" s="84">
        <v>51971</v>
      </c>
      <c r="E36" s="86">
        <v>6.3750000000000001E-2</v>
      </c>
      <c r="F36" s="86">
        <v>6.0937499999999999E-2</v>
      </c>
      <c r="G36" s="86">
        <v>6.2096600000000002E-2</v>
      </c>
      <c r="H36" s="86">
        <v>6.5000000000000002E-2</v>
      </c>
      <c r="I36" s="86">
        <v>6.0937499999999999E-2</v>
      </c>
      <c r="J36" s="87">
        <v>6.1901900000000003E-2</v>
      </c>
      <c r="K36" s="87">
        <v>6.25E-2</v>
      </c>
      <c r="L36" s="88"/>
      <c r="M36" s="88">
        <v>6600500</v>
      </c>
      <c r="N36" s="88">
        <v>6350000</v>
      </c>
      <c r="O36" s="88">
        <v>5700000</v>
      </c>
      <c r="P36" s="89">
        <f t="shared" si="2"/>
        <v>1.1579824561403509</v>
      </c>
      <c r="Q36" s="90">
        <v>6.2E-2</v>
      </c>
      <c r="R36" s="54" t="e">
        <f>O36*J36/$O$29</f>
        <v>#DIV/0!</v>
      </c>
      <c r="S36" s="55">
        <f>O36*J36/$R$10</f>
        <v>361562869.01167369</v>
      </c>
      <c r="T36" s="60">
        <f>SUM(S32:S36)</f>
        <v>651251422.39310718</v>
      </c>
    </row>
    <row r="37" spans="1:20" ht="13.5" customHeight="1" x14ac:dyDescent="0.2">
      <c r="A37" s="58">
        <v>40962</v>
      </c>
      <c r="B37" s="59">
        <v>40966</v>
      </c>
      <c r="C37" s="17" t="s">
        <v>48</v>
      </c>
      <c r="D37" s="18">
        <v>43146</v>
      </c>
      <c r="E37" s="96">
        <v>4.4499999999999998E-2</v>
      </c>
      <c r="F37" s="26">
        <v>4.4687499999999998E-2</v>
      </c>
      <c r="G37" s="26"/>
      <c r="H37" s="26">
        <v>0.06</v>
      </c>
      <c r="I37" s="26">
        <v>4.4687499999999998E-2</v>
      </c>
      <c r="J37" s="27">
        <v>4.4687499999999998E-2</v>
      </c>
      <c r="K37" s="27"/>
      <c r="L37" s="21">
        <v>1000000</v>
      </c>
      <c r="M37" s="21">
        <v>246000</v>
      </c>
      <c r="N37" s="21">
        <v>25000</v>
      </c>
      <c r="O37" s="21">
        <v>25000</v>
      </c>
      <c r="P37" s="44">
        <f t="shared" si="2"/>
        <v>9.84</v>
      </c>
      <c r="Q37" s="54"/>
      <c r="R37" s="54"/>
      <c r="S37" s="55">
        <f>O37*J37/$R$10</f>
        <v>1144803.7851061034</v>
      </c>
      <c r="T37" s="55"/>
    </row>
    <row r="38" spans="1:20" ht="13.5" customHeight="1" x14ac:dyDescent="0.2">
      <c r="A38" s="58"/>
      <c r="B38" s="80"/>
      <c r="C38" s="17" t="s">
        <v>49</v>
      </c>
      <c r="D38" s="18">
        <v>44576</v>
      </c>
      <c r="E38" s="96">
        <v>5.45E-2</v>
      </c>
      <c r="F38" s="26">
        <v>5.4375E-2</v>
      </c>
      <c r="G38" s="26"/>
      <c r="H38" s="26">
        <v>6.5000000000000002E-2</v>
      </c>
      <c r="I38" s="26">
        <v>5.4375E-2</v>
      </c>
      <c r="J38" s="26">
        <v>5.5E-2</v>
      </c>
      <c r="K38" s="27"/>
      <c r="L38" s="21"/>
      <c r="M38" s="21">
        <v>196000</v>
      </c>
      <c r="N38" s="21">
        <v>170000</v>
      </c>
      <c r="O38" s="21">
        <v>170000</v>
      </c>
      <c r="P38" s="44">
        <f>M38/O38</f>
        <v>1.1529411764705881</v>
      </c>
      <c r="Q38" s="54"/>
      <c r="R38" s="54"/>
      <c r="S38" s="55"/>
      <c r="T38" s="55"/>
    </row>
    <row r="39" spans="1:20" ht="13.5" customHeight="1" x14ac:dyDescent="0.25">
      <c r="A39" s="16"/>
      <c r="B39" s="1"/>
      <c r="C39" s="17" t="s">
        <v>50</v>
      </c>
      <c r="D39" s="18">
        <v>46402</v>
      </c>
      <c r="E39" s="26">
        <v>0.06</v>
      </c>
      <c r="F39" s="26">
        <v>5.7500000000000002E-2</v>
      </c>
      <c r="G39" s="26"/>
      <c r="H39" s="26">
        <v>7.0000000000000007E-2</v>
      </c>
      <c r="I39" s="26">
        <v>5.7500000000000002E-2</v>
      </c>
      <c r="J39" s="27">
        <v>5.7782300000000002E-2</v>
      </c>
      <c r="K39" s="27"/>
      <c r="L39" s="21"/>
      <c r="M39" s="21">
        <v>115000</v>
      </c>
      <c r="N39" s="21">
        <v>77000</v>
      </c>
      <c r="O39" s="21">
        <v>77000</v>
      </c>
      <c r="P39" s="44">
        <f>M39/O39</f>
        <v>1.4935064935064934</v>
      </c>
      <c r="Q39" s="54"/>
      <c r="R39" s="54">
        <f>O39*J39/$O$218</f>
        <v>1.6567762383716351E-5</v>
      </c>
      <c r="S39" s="55">
        <f>O39*J39/$R$10</f>
        <v>4559219.8918395555</v>
      </c>
      <c r="T39" s="55"/>
    </row>
    <row r="40" spans="1:20" ht="13.5" customHeight="1" x14ac:dyDescent="0.25">
      <c r="A40" s="16"/>
      <c r="B40" s="1"/>
      <c r="C40" s="17" t="s">
        <v>53</v>
      </c>
      <c r="D40" s="18">
        <v>50086</v>
      </c>
      <c r="E40" s="26">
        <v>6.0999999999999999E-2</v>
      </c>
      <c r="F40" s="26">
        <v>6.25E-2</v>
      </c>
      <c r="G40" s="26"/>
      <c r="H40" s="26">
        <v>7.2499999999999995E-2</v>
      </c>
      <c r="I40" s="26">
        <v>6.25E-2</v>
      </c>
      <c r="J40" s="27">
        <v>6.2923099999999996E-2</v>
      </c>
      <c r="K40" s="27"/>
      <c r="L40" s="21"/>
      <c r="M40" s="21">
        <v>1569500</v>
      </c>
      <c r="N40" s="21">
        <v>1200000</v>
      </c>
      <c r="O40" s="21">
        <v>1200000</v>
      </c>
      <c r="P40" s="44">
        <f>M40/O40</f>
        <v>1.3079166666666666</v>
      </c>
      <c r="Q40" s="54"/>
      <c r="R40" s="54"/>
      <c r="S40" s="55"/>
      <c r="T40" s="55"/>
    </row>
    <row r="41" spans="1:20" ht="13.5" customHeight="1" x14ac:dyDescent="0.2">
      <c r="A41" s="81">
        <v>40974</v>
      </c>
      <c r="B41" s="82">
        <v>40976</v>
      </c>
      <c r="C41" s="83" t="s">
        <v>56</v>
      </c>
      <c r="D41" s="84">
        <v>41067</v>
      </c>
      <c r="E41" s="85">
        <v>0</v>
      </c>
      <c r="F41" s="86">
        <v>0.03</v>
      </c>
      <c r="G41" s="86">
        <v>3.64967E-2</v>
      </c>
      <c r="H41" s="86">
        <v>4.2500000000000003E-2</v>
      </c>
      <c r="I41" s="86">
        <v>0.03</v>
      </c>
      <c r="J41" s="87">
        <v>0.03</v>
      </c>
      <c r="K41" s="87">
        <v>0.03</v>
      </c>
      <c r="L41" s="88">
        <v>5000000</v>
      </c>
      <c r="M41" s="88">
        <v>1900000</v>
      </c>
      <c r="N41" s="88">
        <v>500000</v>
      </c>
      <c r="O41" s="88">
        <v>500000</v>
      </c>
      <c r="P41" s="89">
        <f>M41/O41</f>
        <v>3.8</v>
      </c>
      <c r="Q41" s="90">
        <v>0.03</v>
      </c>
      <c r="R41" s="54"/>
      <c r="S41" s="55">
        <f>O41*J41/$R$10</f>
        <v>15370792.079746285</v>
      </c>
      <c r="T41" s="55"/>
    </row>
    <row r="42" spans="1:20" ht="13.5" customHeight="1" x14ac:dyDescent="0.25">
      <c r="A42" s="92"/>
      <c r="B42" s="91"/>
      <c r="C42" s="83" t="s">
        <v>57</v>
      </c>
      <c r="D42" s="84">
        <v>41312</v>
      </c>
      <c r="E42" s="85">
        <v>0</v>
      </c>
      <c r="F42" s="86">
        <v>4.0625000000000001E-2</v>
      </c>
      <c r="G42" s="86">
        <v>4.3482100000000003E-2</v>
      </c>
      <c r="H42" s="86">
        <v>4.5624999999999999E-2</v>
      </c>
      <c r="I42" s="86">
        <v>4.0625000000000001E-2</v>
      </c>
      <c r="J42" s="87">
        <v>4.0625000000000001E-2</v>
      </c>
      <c r="K42" s="87">
        <v>4.0625000000000001E-2</v>
      </c>
      <c r="L42" s="88"/>
      <c r="M42" s="88">
        <v>2025000</v>
      </c>
      <c r="N42" s="88">
        <v>1100000</v>
      </c>
      <c r="O42" s="88">
        <v>1100000</v>
      </c>
      <c r="P42" s="89">
        <f>M42/O42</f>
        <v>1.8409090909090908</v>
      </c>
      <c r="Q42" s="90">
        <v>4.07E-2</v>
      </c>
      <c r="R42" s="54"/>
      <c r="S42" s="55"/>
      <c r="T42" s="55"/>
    </row>
    <row r="43" spans="1:20" ht="13.5" customHeight="1" x14ac:dyDescent="0.25">
      <c r="A43" s="92"/>
      <c r="B43" s="93"/>
      <c r="C43" s="83" t="s">
        <v>34</v>
      </c>
      <c r="D43" s="84">
        <v>42840</v>
      </c>
      <c r="E43" s="86">
        <v>6.25E-2</v>
      </c>
      <c r="F43" s="86">
        <v>4.9687500000000002E-2</v>
      </c>
      <c r="G43" s="86">
        <v>5.1496300000000002E-2</v>
      </c>
      <c r="H43" s="86">
        <v>5.5E-2</v>
      </c>
      <c r="I43" s="86">
        <v>0</v>
      </c>
      <c r="J43" s="87">
        <v>0</v>
      </c>
      <c r="K43" s="87">
        <v>0</v>
      </c>
      <c r="L43" s="88"/>
      <c r="M43" s="88">
        <v>2835000</v>
      </c>
      <c r="N43" s="88"/>
      <c r="O43" s="88"/>
      <c r="P43" s="89"/>
      <c r="Q43" s="90">
        <v>4.8500000000000001E-2</v>
      </c>
      <c r="R43" s="54">
        <f>O43*J43/$O$39</f>
        <v>0</v>
      </c>
      <c r="S43" s="55">
        <f>O43*J43/$R$10</f>
        <v>0</v>
      </c>
      <c r="T43" s="55"/>
    </row>
    <row r="44" spans="1:20" s="99" customFormat="1" ht="13.5" customHeight="1" x14ac:dyDescent="0.25">
      <c r="A44" s="92"/>
      <c r="B44" s="93"/>
      <c r="C44" s="83" t="s">
        <v>35</v>
      </c>
      <c r="D44" s="84">
        <v>44696</v>
      </c>
      <c r="E44" s="86">
        <v>7.0000000000000007E-2</v>
      </c>
      <c r="F44" s="86">
        <v>5.7187500000000002E-2</v>
      </c>
      <c r="G44" s="86">
        <v>5.8829600000000003E-2</v>
      </c>
      <c r="H44" s="86">
        <v>6.0937499999999999E-2</v>
      </c>
      <c r="I44" s="86">
        <v>0</v>
      </c>
      <c r="J44" s="87">
        <v>0</v>
      </c>
      <c r="K44" s="87">
        <v>0</v>
      </c>
      <c r="L44" s="88"/>
      <c r="M44" s="88">
        <v>1955000</v>
      </c>
      <c r="N44" s="88"/>
      <c r="O44" s="88"/>
      <c r="P44" s="89"/>
      <c r="Q44" s="90">
        <v>5.5800000000000002E-2</v>
      </c>
      <c r="R44" s="97">
        <f>O44*J44/$O$39</f>
        <v>0</v>
      </c>
      <c r="S44" s="98">
        <f>O44*J44/$R$10</f>
        <v>0</v>
      </c>
      <c r="T44" s="98"/>
    </row>
    <row r="45" spans="1:20" ht="13.5" customHeight="1" x14ac:dyDescent="0.25">
      <c r="A45" s="92"/>
      <c r="B45" s="93"/>
      <c r="C45" s="83" t="s">
        <v>43</v>
      </c>
      <c r="D45" s="84">
        <v>46522</v>
      </c>
      <c r="E45" s="86">
        <v>7.0000000000000007E-2</v>
      </c>
      <c r="F45" s="86">
        <v>6.1874999999999999E-2</v>
      </c>
      <c r="G45" s="86">
        <v>6.2988799999999998E-2</v>
      </c>
      <c r="H45" s="86">
        <v>6.7500000000000004E-2</v>
      </c>
      <c r="I45" s="86">
        <v>0</v>
      </c>
      <c r="J45" s="87">
        <v>0</v>
      </c>
      <c r="K45" s="87">
        <v>0</v>
      </c>
      <c r="L45" s="88"/>
      <c r="M45" s="88">
        <v>1905000</v>
      </c>
      <c r="N45" s="88"/>
      <c r="O45" s="88"/>
      <c r="P45" s="89"/>
      <c r="Q45" s="90">
        <v>6.13E-2</v>
      </c>
      <c r="R45" s="54">
        <f>O45*J45/$O$39</f>
        <v>0</v>
      </c>
      <c r="S45" s="55">
        <f>O45*J45/$R$10</f>
        <v>0</v>
      </c>
      <c r="T45" s="55"/>
    </row>
    <row r="46" spans="1:20" ht="13.5" customHeight="1" x14ac:dyDescent="0.2">
      <c r="A46" s="58">
        <v>40981</v>
      </c>
      <c r="B46" s="59">
        <v>40983</v>
      </c>
      <c r="C46" s="17" t="s">
        <v>59</v>
      </c>
      <c r="D46" s="18">
        <v>41166</v>
      </c>
      <c r="E46" s="48">
        <v>0</v>
      </c>
      <c r="F46" s="26">
        <v>3.7499999999999999E-2</v>
      </c>
      <c r="G46" s="26"/>
      <c r="H46" s="26">
        <v>0.05</v>
      </c>
      <c r="I46" s="26"/>
      <c r="J46" s="27">
        <v>3.7959199999999998E-2</v>
      </c>
      <c r="K46" s="27"/>
      <c r="L46" s="21">
        <v>1000000</v>
      </c>
      <c r="M46" s="21">
        <v>2350000</v>
      </c>
      <c r="N46" s="21">
        <v>280000</v>
      </c>
      <c r="O46" s="21">
        <v>280000</v>
      </c>
      <c r="P46" s="44">
        <f>M46/O46</f>
        <v>8.3928571428571423</v>
      </c>
      <c r="Q46" s="54"/>
      <c r="R46" s="54"/>
      <c r="S46" s="55">
        <f>O46*J46/$R$10</f>
        <v>10891308.786652096</v>
      </c>
      <c r="T46" s="55"/>
    </row>
    <row r="47" spans="1:20" ht="13.5" customHeight="1" x14ac:dyDescent="0.2">
      <c r="A47" s="58"/>
      <c r="B47" s="80"/>
      <c r="C47" s="17" t="s">
        <v>48</v>
      </c>
      <c r="D47" s="18">
        <v>43146</v>
      </c>
      <c r="E47" s="96">
        <v>4.4499999999999998E-2</v>
      </c>
      <c r="F47" s="26">
        <v>5.9687499999999998E-2</v>
      </c>
      <c r="G47" s="26"/>
      <c r="H47" s="26">
        <v>6.5000000000000002E-2</v>
      </c>
      <c r="I47" s="26"/>
      <c r="J47" s="26"/>
      <c r="K47" s="27"/>
      <c r="L47" s="21"/>
      <c r="M47" s="21">
        <v>132000</v>
      </c>
      <c r="N47" s="21"/>
      <c r="O47" s="21"/>
      <c r="P47" s="44"/>
      <c r="Q47" s="54"/>
      <c r="R47" s="54"/>
      <c r="S47" s="55"/>
      <c r="T47" s="55"/>
    </row>
    <row r="48" spans="1:20" ht="13.5" customHeight="1" x14ac:dyDescent="0.25">
      <c r="A48" s="16"/>
      <c r="B48" s="1"/>
      <c r="C48" s="17" t="s">
        <v>49</v>
      </c>
      <c r="D48" s="18">
        <v>44576</v>
      </c>
      <c r="E48" s="96">
        <v>5.45E-2</v>
      </c>
      <c r="F48" s="26">
        <v>6.2812499999999993E-2</v>
      </c>
      <c r="G48" s="26"/>
      <c r="H48" s="26">
        <v>7.0000000000000007E-2</v>
      </c>
      <c r="I48" s="26"/>
      <c r="J48" s="27"/>
      <c r="K48" s="27"/>
      <c r="L48" s="21"/>
      <c r="M48" s="21">
        <v>664000</v>
      </c>
      <c r="N48" s="21"/>
      <c r="O48" s="21"/>
      <c r="P48" s="44"/>
      <c r="Q48" s="54"/>
      <c r="R48" s="54">
        <f>O48*J48/$O$218</f>
        <v>0</v>
      </c>
      <c r="S48" s="55">
        <f>O48*J48/$R$10</f>
        <v>0</v>
      </c>
      <c r="T48" s="55"/>
    </row>
    <row r="49" spans="1:20" ht="13.5" customHeight="1" x14ac:dyDescent="0.25">
      <c r="A49" s="16"/>
      <c r="B49" s="1"/>
      <c r="C49" s="17" t="s">
        <v>50</v>
      </c>
      <c r="D49" s="18">
        <v>46402</v>
      </c>
      <c r="E49" s="26">
        <v>0.06</v>
      </c>
      <c r="F49" s="26">
        <v>6.4687499999999995E-2</v>
      </c>
      <c r="G49" s="26"/>
      <c r="H49" s="26">
        <v>7.4999999999999997E-2</v>
      </c>
      <c r="I49" s="26"/>
      <c r="J49" s="27">
        <v>6.4699999999999994E-2</v>
      </c>
      <c r="K49" s="27"/>
      <c r="L49" s="21"/>
      <c r="M49" s="21">
        <v>1326000</v>
      </c>
      <c r="N49" s="21">
        <v>650000</v>
      </c>
      <c r="O49" s="21">
        <v>650000</v>
      </c>
      <c r="P49" s="44">
        <f t="shared" ref="P49:P55" si="3">M49/O49</f>
        <v>2.04</v>
      </c>
      <c r="Q49" s="54"/>
      <c r="R49" s="54"/>
      <c r="S49" s="55"/>
      <c r="T49" s="55"/>
    </row>
    <row r="50" spans="1:20" ht="13.5" customHeight="1" x14ac:dyDescent="0.25">
      <c r="A50" s="16"/>
      <c r="B50" s="1"/>
      <c r="C50" s="17" t="s">
        <v>53</v>
      </c>
      <c r="D50" s="18">
        <v>50086</v>
      </c>
      <c r="E50" s="26">
        <v>6.0999999999999999E-2</v>
      </c>
      <c r="F50" s="26">
        <v>6.4687499999999995E-2</v>
      </c>
      <c r="G50" s="26"/>
      <c r="H50" s="26">
        <v>7.8750000000000001E-2</v>
      </c>
      <c r="I50" s="26"/>
      <c r="J50" s="27">
        <v>6.8666400000000002E-2</v>
      </c>
      <c r="K50" s="27"/>
      <c r="L50" s="21"/>
      <c r="M50" s="21">
        <v>812000</v>
      </c>
      <c r="N50" s="21">
        <v>730000</v>
      </c>
      <c r="O50" s="21">
        <v>730000</v>
      </c>
      <c r="P50" s="44">
        <f t="shared" si="3"/>
        <v>1.1123287671232878</v>
      </c>
      <c r="Q50" s="54"/>
      <c r="R50" s="54">
        <f>O50*J50/$O$218</f>
        <v>1.8665750072748672E-4</v>
      </c>
      <c r="S50" s="55">
        <f>O50*J50/$R$10</f>
        <v>51365571.920214929</v>
      </c>
      <c r="T50" s="55"/>
    </row>
    <row r="51" spans="1:20" ht="13.5" customHeight="1" x14ac:dyDescent="0.2">
      <c r="A51" s="81">
        <v>40987</v>
      </c>
      <c r="B51" s="82">
        <v>40989</v>
      </c>
      <c r="C51" s="83" t="s">
        <v>60</v>
      </c>
      <c r="D51" s="84">
        <v>42268</v>
      </c>
      <c r="E51" s="86">
        <v>6.25E-2</v>
      </c>
      <c r="F51" s="86"/>
      <c r="G51" s="86"/>
      <c r="H51" s="86"/>
      <c r="I51" s="86"/>
      <c r="J51" s="87">
        <v>6.25E-2</v>
      </c>
      <c r="K51" s="87"/>
      <c r="L51" s="88">
        <v>13000000</v>
      </c>
      <c r="M51" s="88">
        <v>13613805</v>
      </c>
      <c r="N51" s="88">
        <v>13613805</v>
      </c>
      <c r="O51" s="88">
        <v>13613805</v>
      </c>
      <c r="P51" s="89">
        <f t="shared" si="3"/>
        <v>1</v>
      </c>
      <c r="Q51" s="90"/>
      <c r="R51" s="54"/>
      <c r="S51" s="55">
        <f>O51*J51/$R$10</f>
        <v>871895691.9550432</v>
      </c>
      <c r="T51" s="55"/>
    </row>
    <row r="52" spans="1:20" ht="13.5" customHeight="1" x14ac:dyDescent="0.2">
      <c r="A52" s="58">
        <v>40988</v>
      </c>
      <c r="B52" s="58">
        <v>40990</v>
      </c>
      <c r="C52" s="17" t="s">
        <v>58</v>
      </c>
      <c r="D52" s="18">
        <v>41051</v>
      </c>
      <c r="E52" s="67">
        <v>0</v>
      </c>
      <c r="F52" s="62">
        <v>0.03</v>
      </c>
      <c r="G52" s="62">
        <v>3.85104E-2</v>
      </c>
      <c r="H52" s="62">
        <v>4.2500000000000003E-2</v>
      </c>
      <c r="I52" s="62">
        <v>0.03</v>
      </c>
      <c r="J52" s="27">
        <v>3.0800000000000001E-2</v>
      </c>
      <c r="K52" s="27">
        <v>3.1875000000000001E-2</v>
      </c>
      <c r="L52" s="63">
        <v>6000000</v>
      </c>
      <c r="M52" s="63">
        <v>2465000</v>
      </c>
      <c r="N52" s="63">
        <v>250000</v>
      </c>
      <c r="O52" s="63">
        <v>250000</v>
      </c>
      <c r="P52" s="64">
        <f t="shared" si="3"/>
        <v>9.86</v>
      </c>
      <c r="Q52" s="100">
        <v>3.1E-2</v>
      </c>
      <c r="R52" s="54"/>
      <c r="S52" s="55">
        <f>O52*J52/$R$10</f>
        <v>7890339.9342697598</v>
      </c>
      <c r="T52" s="55"/>
    </row>
    <row r="53" spans="1:20" ht="13.5" customHeight="1" x14ac:dyDescent="0.25">
      <c r="A53" s="16"/>
      <c r="B53" s="80"/>
      <c r="C53" s="17" t="s">
        <v>57</v>
      </c>
      <c r="D53" s="18">
        <v>41285</v>
      </c>
      <c r="E53" s="67">
        <v>0</v>
      </c>
      <c r="F53" s="62">
        <v>4.0312500000000001E-2</v>
      </c>
      <c r="G53" s="62">
        <v>4.2195000000000003E-2</v>
      </c>
      <c r="H53" s="62">
        <v>4.4999999999999998E-2</v>
      </c>
      <c r="I53" s="62">
        <v>4.0312500000000001E-2</v>
      </c>
      <c r="J53" s="27">
        <v>4.04167E-2</v>
      </c>
      <c r="K53" s="27">
        <v>4.0625000000000001E-2</v>
      </c>
      <c r="L53" s="63"/>
      <c r="M53" s="63">
        <v>2721000</v>
      </c>
      <c r="N53" s="63">
        <v>1050000</v>
      </c>
      <c r="O53" s="63">
        <v>1000000</v>
      </c>
      <c r="P53" s="64">
        <f t="shared" si="3"/>
        <v>2.7210000000000001</v>
      </c>
      <c r="Q53" s="100">
        <v>4.0500000000000001E-2</v>
      </c>
      <c r="R53" s="54"/>
      <c r="S53" s="55"/>
      <c r="T53" s="55"/>
    </row>
    <row r="54" spans="1:20" ht="13.5" customHeight="1" x14ac:dyDescent="0.25">
      <c r="A54" s="16"/>
      <c r="B54" s="1"/>
      <c r="C54" s="17" t="s">
        <v>34</v>
      </c>
      <c r="D54" s="18">
        <v>42840</v>
      </c>
      <c r="E54" s="62">
        <v>6.25E-2</v>
      </c>
      <c r="F54" s="62">
        <v>4.8750000000000002E-2</v>
      </c>
      <c r="G54" s="62">
        <v>5.1622800000000003E-2</v>
      </c>
      <c r="H54" s="62">
        <v>0.06</v>
      </c>
      <c r="I54" s="62">
        <v>4.8750000000000002E-2</v>
      </c>
      <c r="J54" s="27">
        <v>5.1191899999999999E-2</v>
      </c>
      <c r="K54" s="27">
        <v>5.2187499999999998E-2</v>
      </c>
      <c r="L54" s="63"/>
      <c r="M54" s="63">
        <v>2449000</v>
      </c>
      <c r="N54" s="63">
        <v>2300000</v>
      </c>
      <c r="O54" s="63">
        <v>1950000</v>
      </c>
      <c r="P54" s="64">
        <f t="shared" si="3"/>
        <v>1.255897435897436</v>
      </c>
      <c r="Q54" s="100">
        <v>5.1499999999999997E-2</v>
      </c>
      <c r="R54" s="54">
        <v>0</v>
      </c>
      <c r="S54" s="55">
        <v>0</v>
      </c>
      <c r="T54" s="55"/>
    </row>
    <row r="55" spans="1:20" ht="13.5" customHeight="1" x14ac:dyDescent="0.25">
      <c r="A55" s="16"/>
      <c r="B55" s="1"/>
      <c r="C55" s="17" t="s">
        <v>35</v>
      </c>
      <c r="D55" s="18">
        <v>44696</v>
      </c>
      <c r="E55" s="62">
        <v>7.0000000000000007E-2</v>
      </c>
      <c r="F55" s="62">
        <v>5.7500000000000002E-2</v>
      </c>
      <c r="G55" s="62">
        <v>5.9145700000000002E-2</v>
      </c>
      <c r="H55" s="62">
        <v>6.3125000000000001E-2</v>
      </c>
      <c r="I55" s="62">
        <v>5.7500000000000002E-2</v>
      </c>
      <c r="J55" s="27">
        <v>5.8697600000000003E-2</v>
      </c>
      <c r="K55" s="27">
        <v>5.9374999999999997E-2</v>
      </c>
      <c r="L55" s="63"/>
      <c r="M55" s="63">
        <v>3433000</v>
      </c>
      <c r="N55" s="63">
        <v>2050000</v>
      </c>
      <c r="O55" s="63">
        <v>2050000</v>
      </c>
      <c r="P55" s="64">
        <f t="shared" si="3"/>
        <v>1.6746341463414633</v>
      </c>
      <c r="Q55" s="100">
        <v>5.8700000000000002E-2</v>
      </c>
      <c r="R55" s="54">
        <v>0</v>
      </c>
      <c r="S55" s="55">
        <v>0</v>
      </c>
      <c r="T55" s="55"/>
    </row>
    <row r="56" spans="1:20" ht="13.5" customHeight="1" x14ac:dyDescent="0.25">
      <c r="A56" s="16"/>
      <c r="B56" s="1"/>
      <c r="C56" s="17" t="s">
        <v>32</v>
      </c>
      <c r="D56" s="18">
        <v>48380</v>
      </c>
      <c r="E56" s="62">
        <v>8.2500000000000004E-2</v>
      </c>
      <c r="F56" s="62">
        <v>6.5937499999999996E-2</v>
      </c>
      <c r="G56" s="62">
        <v>6.7572999999999994E-2</v>
      </c>
      <c r="H56" s="62">
        <v>6.9375000000000006E-2</v>
      </c>
      <c r="I56" s="62">
        <v>6.5937499999999996E-2</v>
      </c>
      <c r="J56" s="27">
        <v>6.7264900000000002E-2</v>
      </c>
      <c r="K56" s="27">
        <v>6.7812499999999998E-2</v>
      </c>
      <c r="L56" s="63"/>
      <c r="M56" s="63">
        <v>3017000</v>
      </c>
      <c r="N56" s="63">
        <v>2100000</v>
      </c>
      <c r="O56" s="63">
        <v>2050000</v>
      </c>
      <c r="P56" s="64">
        <v>4.6167499999999997</v>
      </c>
      <c r="Q56" s="100">
        <v>6.7299999999999999E-2</v>
      </c>
      <c r="R56" s="54">
        <v>1.9887751488813776E-3</v>
      </c>
      <c r="S56" s="55">
        <v>29293528.561597757</v>
      </c>
      <c r="T56" s="60"/>
    </row>
    <row r="57" spans="1:20" ht="13.5" customHeight="1" x14ac:dyDescent="0.2">
      <c r="A57" s="81">
        <v>40989</v>
      </c>
      <c r="B57" s="82">
        <v>40989</v>
      </c>
      <c r="C57" s="83" t="s">
        <v>61</v>
      </c>
      <c r="D57" s="84">
        <v>42815</v>
      </c>
      <c r="E57" s="86">
        <v>5.16E-2</v>
      </c>
      <c r="F57" s="86"/>
      <c r="G57" s="86"/>
      <c r="H57" s="86"/>
      <c r="I57" s="86"/>
      <c r="J57" s="86">
        <v>5.16E-2</v>
      </c>
      <c r="K57" s="87"/>
      <c r="L57" s="88">
        <v>8000000</v>
      </c>
      <c r="M57" s="88">
        <v>2000000</v>
      </c>
      <c r="N57" s="88">
        <v>2000000</v>
      </c>
      <c r="O57" s="88">
        <v>2000000</v>
      </c>
      <c r="P57" s="89">
        <f>M57/O57</f>
        <v>1</v>
      </c>
      <c r="Q57" s="90">
        <v>0.03</v>
      </c>
      <c r="R57" s="54"/>
      <c r="S57" s="55">
        <f>O57*J57/$R$10</f>
        <v>105751049.50865445</v>
      </c>
      <c r="T57" s="55"/>
    </row>
    <row r="58" spans="1:20" ht="13.5" customHeight="1" x14ac:dyDescent="0.25">
      <c r="A58" s="92"/>
      <c r="B58" s="91"/>
      <c r="C58" s="83" t="s">
        <v>62</v>
      </c>
      <c r="D58" s="84">
        <v>43545</v>
      </c>
      <c r="E58" s="86">
        <v>5.4600000000000003E-2</v>
      </c>
      <c r="F58" s="86"/>
      <c r="G58" s="86"/>
      <c r="H58" s="86"/>
      <c r="I58" s="86"/>
      <c r="J58" s="86">
        <v>5.4600000000000003E-2</v>
      </c>
      <c r="K58" s="87"/>
      <c r="L58" s="88"/>
      <c r="M58" s="88">
        <v>3000000</v>
      </c>
      <c r="N58" s="88">
        <v>3000000</v>
      </c>
      <c r="O58" s="88">
        <v>3000000</v>
      </c>
      <c r="P58" s="89">
        <f>M58/O58</f>
        <v>1</v>
      </c>
      <c r="Q58" s="90">
        <v>4.07E-2</v>
      </c>
      <c r="R58" s="54"/>
      <c r="S58" s="55"/>
      <c r="T58" s="55"/>
    </row>
    <row r="59" spans="1:20" ht="13.5" customHeight="1" x14ac:dyDescent="0.25">
      <c r="A59" s="92"/>
      <c r="B59" s="93"/>
      <c r="C59" s="83" t="s">
        <v>63</v>
      </c>
      <c r="D59" s="84">
        <v>44641</v>
      </c>
      <c r="E59" s="86">
        <v>5.91E-2</v>
      </c>
      <c r="F59" s="86"/>
      <c r="G59" s="86"/>
      <c r="H59" s="86"/>
      <c r="I59" s="86"/>
      <c r="J59" s="86">
        <v>5.91E-2</v>
      </c>
      <c r="K59" s="87"/>
      <c r="L59" s="88"/>
      <c r="M59" s="88">
        <v>3342000</v>
      </c>
      <c r="N59" s="88">
        <v>3342000</v>
      </c>
      <c r="O59" s="88">
        <v>3342000</v>
      </c>
      <c r="P59" s="89">
        <f>M59/O59</f>
        <v>1</v>
      </c>
      <c r="Q59" s="90">
        <v>4.8500000000000001E-2</v>
      </c>
      <c r="R59" s="54">
        <f>O59*J59/$O$39</f>
        <v>2.5650935064935068</v>
      </c>
      <c r="S59" s="55">
        <f>O59*J59/$R$10</f>
        <v>202394597.29421762</v>
      </c>
      <c r="T59" s="55"/>
    </row>
    <row r="60" spans="1:20" ht="13.5" customHeight="1" x14ac:dyDescent="0.2">
      <c r="A60" s="58">
        <v>40995</v>
      </c>
      <c r="B60" s="59">
        <v>40997</v>
      </c>
      <c r="C60" s="17" t="s">
        <v>48</v>
      </c>
      <c r="D60" s="18">
        <v>43146</v>
      </c>
      <c r="E60" s="96">
        <v>4.4499999999999998E-2</v>
      </c>
      <c r="F60" s="26">
        <v>5.8125000000000003E-2</v>
      </c>
      <c r="G60" s="26"/>
      <c r="H60" s="26">
        <v>6.5000000000000002E-2</v>
      </c>
      <c r="I60" s="26"/>
      <c r="J60" s="26"/>
      <c r="K60" s="27"/>
      <c r="L60" s="21">
        <v>1000000</v>
      </c>
      <c r="M60" s="21">
        <v>108000</v>
      </c>
      <c r="N60" s="21"/>
      <c r="O60" s="21"/>
      <c r="P60" s="44"/>
      <c r="Q60" s="54"/>
      <c r="R60" s="54"/>
      <c r="S60" s="55"/>
      <c r="T60" s="55"/>
    </row>
    <row r="61" spans="1:20" ht="13.5" customHeight="1" x14ac:dyDescent="0.25">
      <c r="A61" s="16"/>
      <c r="B61" s="1"/>
      <c r="C61" s="17" t="s">
        <v>49</v>
      </c>
      <c r="D61" s="18">
        <v>44576</v>
      </c>
      <c r="E61" s="96">
        <v>5.45E-2</v>
      </c>
      <c r="F61" s="26">
        <v>6.21875E-2</v>
      </c>
      <c r="G61" s="26"/>
      <c r="H61" s="26">
        <v>7.0000000000000007E-2</v>
      </c>
      <c r="I61" s="26"/>
      <c r="J61" s="27"/>
      <c r="K61" s="27"/>
      <c r="L61" s="21"/>
      <c r="M61" s="21">
        <v>483000</v>
      </c>
      <c r="N61" s="21"/>
      <c r="O61" s="21"/>
      <c r="P61" s="44"/>
      <c r="Q61" s="54"/>
      <c r="R61" s="54">
        <f>O61*J61/$O$218</f>
        <v>0</v>
      </c>
      <c r="S61" s="55">
        <f>O61*J61/$R$10</f>
        <v>0</v>
      </c>
      <c r="T61" s="55"/>
    </row>
    <row r="62" spans="1:20" ht="13.5" customHeight="1" x14ac:dyDescent="0.25">
      <c r="A62" s="16"/>
      <c r="B62" s="1"/>
      <c r="C62" s="17" t="s">
        <v>50</v>
      </c>
      <c r="D62" s="18">
        <v>46402</v>
      </c>
      <c r="E62" s="26">
        <v>0.06</v>
      </c>
      <c r="F62" s="26">
        <v>6.5312499999999996E-2</v>
      </c>
      <c r="G62" s="26"/>
      <c r="H62" s="26">
        <v>7.0937500000000001E-2</v>
      </c>
      <c r="I62" s="26"/>
      <c r="J62" s="27"/>
      <c r="K62" s="27"/>
      <c r="L62" s="21"/>
      <c r="M62" s="21">
        <v>801000</v>
      </c>
      <c r="N62" s="21"/>
      <c r="O62" s="21"/>
      <c r="P62" s="44"/>
      <c r="Q62" s="54"/>
      <c r="R62" s="54"/>
      <c r="S62" s="55"/>
      <c r="T62" s="55"/>
    </row>
    <row r="63" spans="1:20" ht="13.5" customHeight="1" x14ac:dyDescent="0.25">
      <c r="A63" s="16"/>
      <c r="B63" s="1"/>
      <c r="C63" s="17" t="s">
        <v>53</v>
      </c>
      <c r="D63" s="18">
        <v>50086</v>
      </c>
      <c r="E63" s="26">
        <v>6.0999999999999999E-2</v>
      </c>
      <c r="F63" s="26">
        <v>6.8125000000000005E-2</v>
      </c>
      <c r="G63" s="26"/>
      <c r="H63" s="26">
        <v>7.2499999999999995E-2</v>
      </c>
      <c r="I63" s="26"/>
      <c r="J63" s="27">
        <v>6.9596500000000006E-2</v>
      </c>
      <c r="K63" s="27"/>
      <c r="L63" s="21"/>
      <c r="M63" s="21">
        <v>792000</v>
      </c>
      <c r="N63" s="21"/>
      <c r="O63" s="21">
        <v>355000</v>
      </c>
      <c r="P63" s="44">
        <f>M63/O63</f>
        <v>2.2309859154929579</v>
      </c>
      <c r="Q63" s="100">
        <v>6.7299999999999999E-2</v>
      </c>
      <c r="R63" s="54">
        <f>O63*J63/$O$218</f>
        <v>9.2001320300979657E-5</v>
      </c>
      <c r="S63" s="55">
        <f>O63*J63/$R$10</f>
        <v>25317495.499814145</v>
      </c>
      <c r="T63" s="55"/>
    </row>
    <row r="64" spans="1:20" ht="13.5" customHeight="1" x14ac:dyDescent="0.2">
      <c r="A64" s="81">
        <v>41002</v>
      </c>
      <c r="B64" s="82">
        <v>41004</v>
      </c>
      <c r="C64" s="83" t="s">
        <v>64</v>
      </c>
      <c r="D64" s="84">
        <v>41368</v>
      </c>
      <c r="E64" s="86">
        <v>0</v>
      </c>
      <c r="F64" s="86">
        <v>3.875E-2</v>
      </c>
      <c r="G64" s="86">
        <v>4.1736099999999998E-2</v>
      </c>
      <c r="H64" s="86">
        <v>4.4999999999999998E-2</v>
      </c>
      <c r="I64" s="86">
        <v>3.875E-2</v>
      </c>
      <c r="J64" s="86">
        <v>3.9166699999999999E-2</v>
      </c>
      <c r="K64" s="87">
        <v>3.9375E-2</v>
      </c>
      <c r="L64" s="88">
        <v>6000000</v>
      </c>
      <c r="M64" s="88">
        <v>6100000</v>
      </c>
      <c r="N64" s="88">
        <v>1300000</v>
      </c>
      <c r="O64" s="88">
        <v>1000000</v>
      </c>
      <c r="P64" s="89">
        <f>M64/O64</f>
        <v>6.1</v>
      </c>
      <c r="Q64" s="90">
        <v>3.95E-2</v>
      </c>
      <c r="R64" s="54"/>
      <c r="S64" s="55">
        <f>O64*J64/$R$10</f>
        <v>40134880.14331992</v>
      </c>
      <c r="T64" s="55"/>
    </row>
    <row r="65" spans="1:23" ht="13.5" customHeight="1" x14ac:dyDescent="0.2">
      <c r="A65" s="81"/>
      <c r="B65" s="82"/>
      <c r="C65" s="83" t="s">
        <v>35</v>
      </c>
      <c r="D65" s="84">
        <v>44696</v>
      </c>
      <c r="E65" s="86">
        <v>7.0000000000000007E-2</v>
      </c>
      <c r="F65" s="86">
        <v>5.7812500000000003E-2</v>
      </c>
      <c r="G65" s="86">
        <v>5.89077E-2</v>
      </c>
      <c r="H65" s="86">
        <v>6.1874999999999999E-2</v>
      </c>
      <c r="I65" s="86">
        <v>5.7812500000000003E-2</v>
      </c>
      <c r="J65" s="86">
        <v>5.86992E-2</v>
      </c>
      <c r="K65" s="87">
        <v>5.9062499999999997E-2</v>
      </c>
      <c r="L65" s="88"/>
      <c r="M65" s="88">
        <v>4188000</v>
      </c>
      <c r="N65" s="88">
        <v>3300000</v>
      </c>
      <c r="O65" s="88">
        <v>3300000</v>
      </c>
      <c r="P65" s="89">
        <f>M65/O65</f>
        <v>1.269090909090909</v>
      </c>
      <c r="Q65" s="90">
        <v>5.8700000000000002E-2</v>
      </c>
      <c r="R65" s="54"/>
      <c r="S65" s="55"/>
      <c r="T65" s="55"/>
    </row>
    <row r="66" spans="1:23" ht="13.5" customHeight="1" x14ac:dyDescent="0.2">
      <c r="A66" s="81"/>
      <c r="B66" s="82"/>
      <c r="C66" s="83" t="s">
        <v>43</v>
      </c>
      <c r="D66" s="84">
        <v>46522</v>
      </c>
      <c r="E66" s="86">
        <v>7.0000000000000007E-2</v>
      </c>
      <c r="F66" s="86">
        <v>6.21875E-2</v>
      </c>
      <c r="G66" s="86">
        <v>6.3441600000000001E-2</v>
      </c>
      <c r="H66" s="86">
        <v>6.5000000000000002E-2</v>
      </c>
      <c r="I66" s="86">
        <v>6.21875E-2</v>
      </c>
      <c r="J66" s="86">
        <v>6.3199099999999994E-2</v>
      </c>
      <c r="K66" s="87">
        <v>6.3437499999999994E-2</v>
      </c>
      <c r="L66" s="88"/>
      <c r="M66" s="88">
        <v>4009000</v>
      </c>
      <c r="N66" s="88">
        <v>2700000</v>
      </c>
      <c r="O66" s="88">
        <v>2700000</v>
      </c>
      <c r="P66" s="89">
        <f t="shared" ref="P66:P72" si="4">M66/O66</f>
        <v>1.4848148148148148</v>
      </c>
      <c r="Q66" s="90">
        <v>6.3200000000000006E-2</v>
      </c>
      <c r="R66" s="54" t="e">
        <f>O66*J66/$O$43</f>
        <v>#DIV/0!</v>
      </c>
      <c r="S66" s="55">
        <f>O66*J66/$R$10</f>
        <v>174855640.63087681</v>
      </c>
      <c r="T66" s="55"/>
    </row>
    <row r="67" spans="1:23" ht="13.5" customHeight="1" x14ac:dyDescent="0.2">
      <c r="A67" s="81"/>
      <c r="B67" s="82"/>
      <c r="C67" s="83" t="s">
        <v>32</v>
      </c>
      <c r="D67" s="84">
        <v>48380</v>
      </c>
      <c r="E67" s="86">
        <v>8.2500000000000004E-2</v>
      </c>
      <c r="F67" s="86">
        <v>6.6562499999999997E-2</v>
      </c>
      <c r="G67" s="86">
        <v>6.7594600000000005E-2</v>
      </c>
      <c r="H67" s="86">
        <v>7.0000000000000007E-2</v>
      </c>
      <c r="I67" s="86">
        <v>6.6562499999999997E-2</v>
      </c>
      <c r="J67" s="86">
        <v>6.7283399999999993E-2</v>
      </c>
      <c r="K67" s="87">
        <v>6.7500000000000004E-2</v>
      </c>
      <c r="L67" s="88"/>
      <c r="M67" s="88">
        <v>5192000</v>
      </c>
      <c r="N67" s="88">
        <v>2150000</v>
      </c>
      <c r="O67" s="88">
        <v>2000000</v>
      </c>
      <c r="P67" s="89">
        <f t="shared" si="4"/>
        <v>2.5960000000000001</v>
      </c>
      <c r="Q67" s="90">
        <v>6.7299999999999999E-2</v>
      </c>
      <c r="R67" s="54" t="e">
        <f>O67*J67/$O$43</f>
        <v>#DIV/0!</v>
      </c>
      <c r="S67" s="55">
        <f>O67*J67/$R$10</f>
        <v>137893220.24245349</v>
      </c>
      <c r="T67" s="55"/>
    </row>
    <row r="68" spans="1:23" ht="13.5" customHeight="1" x14ac:dyDescent="0.2">
      <c r="A68" s="58">
        <v>41009</v>
      </c>
      <c r="B68" s="59">
        <v>41011</v>
      </c>
      <c r="C68" s="17" t="s">
        <v>65</v>
      </c>
      <c r="D68" s="18">
        <v>41193</v>
      </c>
      <c r="E68" s="96">
        <v>0</v>
      </c>
      <c r="F68" s="26">
        <v>3.7812499999999999E-2</v>
      </c>
      <c r="G68" s="26"/>
      <c r="H68" s="26">
        <v>4.7500000000000001E-2</v>
      </c>
      <c r="I68" s="26"/>
      <c r="J68" s="26"/>
      <c r="K68" s="27"/>
      <c r="L68" s="21">
        <v>1000000</v>
      </c>
      <c r="M68" s="21">
        <v>2451000</v>
      </c>
      <c r="N68" s="21"/>
      <c r="O68" s="21">
        <v>0</v>
      </c>
      <c r="P68" s="89" t="e">
        <f t="shared" si="4"/>
        <v>#DIV/0!</v>
      </c>
      <c r="Q68" s="54"/>
      <c r="R68" s="54"/>
      <c r="S68" s="55">
        <f>O68*J68/$R$10</f>
        <v>0</v>
      </c>
      <c r="T68" s="55"/>
    </row>
    <row r="69" spans="1:23" ht="13.5" customHeight="1" x14ac:dyDescent="0.25">
      <c r="A69" s="16"/>
      <c r="B69" s="1"/>
      <c r="C69" s="17" t="s">
        <v>48</v>
      </c>
      <c r="D69" s="18">
        <v>43146</v>
      </c>
      <c r="E69" s="96">
        <v>4.4499999999999998E-2</v>
      </c>
      <c r="F69" s="26">
        <v>5.3124999999999999E-2</v>
      </c>
      <c r="G69" s="26"/>
      <c r="H69" s="26">
        <v>6.5000000000000002E-2</v>
      </c>
      <c r="I69" s="26"/>
      <c r="J69" s="27">
        <v>5.3124999999999999E-2</v>
      </c>
      <c r="K69" s="27"/>
      <c r="L69" s="21"/>
      <c r="M69" s="21">
        <v>2171000</v>
      </c>
      <c r="N69" s="21"/>
      <c r="O69" s="21">
        <v>1000000</v>
      </c>
      <c r="P69" s="89">
        <f t="shared" si="4"/>
        <v>2.1709999999999998</v>
      </c>
      <c r="Q69" s="54"/>
      <c r="R69" s="54"/>
      <c r="S69" s="55"/>
      <c r="T69" s="55"/>
    </row>
    <row r="70" spans="1:23" ht="13.5" customHeight="1" x14ac:dyDescent="0.25">
      <c r="A70" s="16"/>
      <c r="B70" s="1"/>
      <c r="C70" s="17" t="s">
        <v>49</v>
      </c>
      <c r="D70" s="18">
        <v>44576</v>
      </c>
      <c r="E70" s="96">
        <v>5.45E-2</v>
      </c>
      <c r="F70" s="26">
        <v>6.0937499999999999E-2</v>
      </c>
      <c r="G70" s="26"/>
      <c r="H70" s="26">
        <v>7.0000000000000007E-2</v>
      </c>
      <c r="I70" s="26"/>
      <c r="J70" s="27">
        <v>6.1093799999999997E-2</v>
      </c>
      <c r="K70" s="27"/>
      <c r="L70" s="21"/>
      <c r="M70" s="21">
        <v>466000</v>
      </c>
      <c r="N70" s="21"/>
      <c r="O70" s="21">
        <v>100000</v>
      </c>
      <c r="P70" s="89">
        <f t="shared" si="4"/>
        <v>4.66</v>
      </c>
      <c r="Q70" s="54"/>
      <c r="R70" s="54" t="e">
        <f>O70*J70/$O$43</f>
        <v>#DIV/0!</v>
      </c>
      <c r="S70" s="55">
        <f>O70*J70/$R$10</f>
        <v>6260400.6477440242</v>
      </c>
      <c r="T70" s="55"/>
    </row>
    <row r="71" spans="1:23" ht="13.5" customHeight="1" x14ac:dyDescent="0.25">
      <c r="A71" s="16"/>
      <c r="B71" s="1"/>
      <c r="C71" s="17" t="s">
        <v>50</v>
      </c>
      <c r="D71" s="18">
        <v>46402</v>
      </c>
      <c r="E71" s="26">
        <v>0.06</v>
      </c>
      <c r="F71" s="26">
        <v>6.5312499999999996E-2</v>
      </c>
      <c r="G71" s="26"/>
      <c r="H71" s="26">
        <v>7.4999999999999997E-2</v>
      </c>
      <c r="I71" s="26"/>
      <c r="J71" s="27">
        <v>6.5312499999999996E-2</v>
      </c>
      <c r="K71" s="27"/>
      <c r="L71" s="21"/>
      <c r="M71" s="21">
        <v>1341000</v>
      </c>
      <c r="N71" s="21"/>
      <c r="O71" s="21">
        <v>550000</v>
      </c>
      <c r="P71" s="89">
        <f t="shared" si="4"/>
        <v>2.438181818181818</v>
      </c>
      <c r="Q71" s="100"/>
      <c r="R71" s="54" t="e">
        <f>O71*J71/$O$43</f>
        <v>#DIV/0!</v>
      </c>
      <c r="S71" s="55">
        <f>O71*J71/$R$10</f>
        <v>36809844.782642402</v>
      </c>
      <c r="T71" s="55"/>
    </row>
    <row r="72" spans="1:23" ht="13.5" customHeight="1" x14ac:dyDescent="0.25">
      <c r="A72" s="16"/>
      <c r="B72" s="1"/>
      <c r="C72" s="17" t="s">
        <v>53</v>
      </c>
      <c r="D72" s="18">
        <v>50086</v>
      </c>
      <c r="E72" s="26">
        <v>6.0999999999999999E-2</v>
      </c>
      <c r="F72" s="26">
        <v>6.8750000000000006E-2</v>
      </c>
      <c r="G72" s="26"/>
      <c r="H72" s="26">
        <v>0.08</v>
      </c>
      <c r="I72" s="26"/>
      <c r="J72" s="27">
        <v>6.9043400000000005E-2</v>
      </c>
      <c r="K72" s="27"/>
      <c r="L72" s="21"/>
      <c r="M72" s="21">
        <v>639000</v>
      </c>
      <c r="N72" s="21"/>
      <c r="O72" s="21">
        <v>250000</v>
      </c>
      <c r="P72" s="89">
        <f t="shared" si="4"/>
        <v>2.556</v>
      </c>
      <c r="Q72" s="100"/>
      <c r="R72" s="54" t="e">
        <f>O72*J72/$O$43</f>
        <v>#DIV/0!</v>
      </c>
      <c r="S72" s="55">
        <f>O72*J72/$R$10</f>
        <v>17687529.097979248</v>
      </c>
      <c r="T72" s="55"/>
    </row>
    <row r="73" spans="1:23" ht="13.5" customHeight="1" x14ac:dyDescent="0.2">
      <c r="A73" s="81">
        <v>41016</v>
      </c>
      <c r="B73" s="81">
        <v>41018</v>
      </c>
      <c r="C73" s="83" t="s">
        <v>66</v>
      </c>
      <c r="D73" s="84">
        <v>41108</v>
      </c>
      <c r="E73" s="85">
        <v>0</v>
      </c>
      <c r="F73" s="86">
        <v>3.15625E-2</v>
      </c>
      <c r="G73" s="86">
        <v>3.7930400000000003E-2</v>
      </c>
      <c r="H73" s="86">
        <v>4.4999999999999998E-2</v>
      </c>
      <c r="I73" s="86">
        <v>3.15625E-2</v>
      </c>
      <c r="J73" s="87">
        <v>3.3057299999999998E-2</v>
      </c>
      <c r="K73" s="87">
        <v>3.3437500000000002E-2</v>
      </c>
      <c r="L73" s="88">
        <v>6000000</v>
      </c>
      <c r="M73" s="88">
        <v>2080000</v>
      </c>
      <c r="N73" s="88">
        <v>300000</v>
      </c>
      <c r="O73" s="88">
        <v>300000</v>
      </c>
      <c r="P73" s="89">
        <f>M73/O73</f>
        <v>6.9333333333333336</v>
      </c>
      <c r="Q73" s="90">
        <v>3.3099999999999997E-2</v>
      </c>
      <c r="R73" s="54"/>
      <c r="S73" s="55">
        <f>O73*J73/$R$10</f>
        <v>10162337.700355936</v>
      </c>
      <c r="T73" s="55"/>
    </row>
    <row r="74" spans="1:23" ht="13.5" customHeight="1" x14ac:dyDescent="0.25">
      <c r="A74" s="92"/>
      <c r="B74" s="91"/>
      <c r="C74" s="83" t="s">
        <v>67</v>
      </c>
      <c r="D74" s="84">
        <v>41368</v>
      </c>
      <c r="E74" s="85">
        <v>0</v>
      </c>
      <c r="F74" s="86">
        <v>3.875E-2</v>
      </c>
      <c r="G74" s="86">
        <v>4.0850999999999998E-2</v>
      </c>
      <c r="H74" s="86">
        <v>4.7500000000000001E-2</v>
      </c>
      <c r="I74" s="86">
        <v>3.875E-2</v>
      </c>
      <c r="J74" s="87">
        <v>3.95E-2</v>
      </c>
      <c r="K74" s="87">
        <v>0.04</v>
      </c>
      <c r="L74" s="88"/>
      <c r="M74" s="88">
        <v>4150000</v>
      </c>
      <c r="N74" s="88">
        <v>1900000</v>
      </c>
      <c r="O74" s="88">
        <v>1900000</v>
      </c>
      <c r="P74" s="89">
        <f>M74/O74</f>
        <v>2.1842105263157894</v>
      </c>
      <c r="Q74" s="90">
        <v>3.95E-2</v>
      </c>
      <c r="R74" s="54"/>
      <c r="S74" s="55"/>
      <c r="T74" s="55"/>
    </row>
    <row r="75" spans="1:23" ht="13.5" customHeight="1" x14ac:dyDescent="0.25">
      <c r="A75" s="92"/>
      <c r="B75" s="93"/>
      <c r="C75" s="83" t="s">
        <v>35</v>
      </c>
      <c r="D75" s="84">
        <v>44696</v>
      </c>
      <c r="E75" s="86">
        <v>7.0000000000000007E-2</v>
      </c>
      <c r="F75" s="86">
        <v>6.0937499999999999E-2</v>
      </c>
      <c r="G75" s="86">
        <v>6.21383E-2</v>
      </c>
      <c r="H75" s="86">
        <v>6.5000000000000002E-2</v>
      </c>
      <c r="I75" s="86"/>
      <c r="J75" s="87"/>
      <c r="K75" s="87"/>
      <c r="L75" s="88"/>
      <c r="M75" s="88">
        <v>3225000</v>
      </c>
      <c r="N75" s="88">
        <v>0</v>
      </c>
      <c r="O75" s="88">
        <v>0</v>
      </c>
      <c r="P75" s="89"/>
      <c r="Q75" s="90">
        <v>6.0999999999999999E-2</v>
      </c>
      <c r="R75" s="54">
        <v>0</v>
      </c>
      <c r="S75" s="55">
        <v>0</v>
      </c>
      <c r="T75" s="55"/>
    </row>
    <row r="76" spans="1:23" ht="13.5" customHeight="1" x14ac:dyDescent="0.25">
      <c r="A76" s="92"/>
      <c r="B76" s="93"/>
      <c r="C76" s="83" t="s">
        <v>43</v>
      </c>
      <c r="D76" s="84">
        <v>46522</v>
      </c>
      <c r="E76" s="86">
        <v>7.0000000000000007E-2</v>
      </c>
      <c r="F76" s="86">
        <v>6.5625000000000003E-2</v>
      </c>
      <c r="G76" s="86">
        <v>6.5997700000000006E-2</v>
      </c>
      <c r="H76" s="86">
        <v>6.7500000000000004E-2</v>
      </c>
      <c r="I76" s="86"/>
      <c r="J76" s="87"/>
      <c r="K76" s="87"/>
      <c r="L76" s="88"/>
      <c r="M76" s="88">
        <v>3020000</v>
      </c>
      <c r="N76" s="88">
        <v>0</v>
      </c>
      <c r="O76" s="88">
        <v>0</v>
      </c>
      <c r="P76" s="89"/>
      <c r="Q76" s="90">
        <v>6.4699999999999994E-2</v>
      </c>
      <c r="R76" s="54">
        <v>0</v>
      </c>
      <c r="S76" s="55">
        <v>0</v>
      </c>
      <c r="T76" s="55"/>
    </row>
    <row r="77" spans="1:23" ht="13.5" customHeight="1" x14ac:dyDescent="0.25">
      <c r="A77" s="92"/>
      <c r="B77" s="93"/>
      <c r="C77" s="83" t="s">
        <v>32</v>
      </c>
      <c r="D77" s="84">
        <v>48380</v>
      </c>
      <c r="E77" s="86">
        <v>8.2500000000000004E-2</v>
      </c>
      <c r="F77" s="86">
        <v>6.9062499999999999E-2</v>
      </c>
      <c r="G77" s="86">
        <v>6.9961999999999996E-2</v>
      </c>
      <c r="H77" s="86">
        <v>7.2499999999999995E-2</v>
      </c>
      <c r="I77" s="86"/>
      <c r="J77" s="87"/>
      <c r="K77" s="87"/>
      <c r="L77" s="88"/>
      <c r="M77" s="88">
        <v>2362000</v>
      </c>
      <c r="N77" s="88">
        <v>0</v>
      </c>
      <c r="O77" s="88">
        <v>0</v>
      </c>
      <c r="P77" s="89"/>
      <c r="Q77" s="90">
        <v>6.8500000000000005E-2</v>
      </c>
      <c r="R77" s="54">
        <v>1.9887751488813776E-3</v>
      </c>
      <c r="S77" s="55">
        <v>29293528.561597757</v>
      </c>
      <c r="T77" s="60"/>
    </row>
    <row r="78" spans="1:23" ht="13.5" customHeight="1" x14ac:dyDescent="0.2">
      <c r="A78" s="287">
        <v>41016</v>
      </c>
      <c r="B78" s="289">
        <v>41024</v>
      </c>
      <c r="C78" s="69" t="s">
        <v>68</v>
      </c>
      <c r="D78" s="70">
        <v>44676</v>
      </c>
      <c r="E78" s="71">
        <v>3.7499999999999999E-2</v>
      </c>
      <c r="F78" s="72"/>
      <c r="G78" s="72"/>
      <c r="H78" s="72"/>
      <c r="I78" s="72"/>
      <c r="J78" s="73"/>
      <c r="K78" s="73"/>
      <c r="L78" s="102">
        <v>20000000</v>
      </c>
      <c r="M78" s="75" t="s">
        <v>71</v>
      </c>
      <c r="N78" s="75" t="s">
        <v>69</v>
      </c>
      <c r="O78" s="75" t="s">
        <v>69</v>
      </c>
      <c r="P78" s="101"/>
      <c r="Q78" s="77"/>
      <c r="R78" s="54"/>
      <c r="U78" s="2">
        <f>U79*5900</f>
        <v>54221000</v>
      </c>
      <c r="V78" s="2">
        <f>U79*2000</f>
        <v>18380000</v>
      </c>
      <c r="W78" s="2">
        <f>U79*2000</f>
        <v>18380000</v>
      </c>
    </row>
    <row r="79" spans="1:23" ht="13.5" customHeight="1" x14ac:dyDescent="0.2">
      <c r="A79" s="288"/>
      <c r="B79" s="290"/>
      <c r="C79" s="17"/>
      <c r="D79" s="18"/>
      <c r="E79" s="67"/>
      <c r="F79" s="62"/>
      <c r="G79" s="62"/>
      <c r="H79" s="62"/>
      <c r="I79" s="62"/>
      <c r="J79" s="27"/>
      <c r="K79" s="103"/>
      <c r="L79" s="154"/>
      <c r="M79" s="63">
        <f>U78</f>
        <v>54221000</v>
      </c>
      <c r="N79" s="63">
        <f>V78</f>
        <v>18380000</v>
      </c>
      <c r="O79" s="63">
        <f>W78</f>
        <v>18380000</v>
      </c>
      <c r="P79" s="64">
        <f>M79/O79</f>
        <v>2.95</v>
      </c>
      <c r="Q79" s="65"/>
      <c r="R79" s="54">
        <f>O79*J79/$O$52</f>
        <v>0</v>
      </c>
      <c r="U79" s="2">
        <v>9190</v>
      </c>
    </row>
    <row r="80" spans="1:23" ht="13.5" customHeight="1" x14ac:dyDescent="0.2">
      <c r="A80" s="288"/>
      <c r="B80" s="290"/>
      <c r="C80" s="69" t="s">
        <v>39</v>
      </c>
      <c r="D80" s="70">
        <v>51883</v>
      </c>
      <c r="E80" s="71">
        <v>5.2499999999999998E-2</v>
      </c>
      <c r="F80" s="72"/>
      <c r="G80" s="72"/>
      <c r="H80" s="72"/>
      <c r="I80" s="72"/>
      <c r="J80" s="73"/>
      <c r="K80" s="104"/>
      <c r="L80" s="154"/>
      <c r="M80" s="75" t="s">
        <v>69</v>
      </c>
      <c r="N80" s="75" t="s">
        <v>41</v>
      </c>
      <c r="O80" s="75" t="s">
        <v>70</v>
      </c>
      <c r="P80" s="76"/>
      <c r="Q80" s="77"/>
      <c r="R80" s="54"/>
      <c r="U80" s="2">
        <f>U81*2000</f>
        <v>18380000</v>
      </c>
      <c r="V80" s="2">
        <f>U81*500</f>
        <v>4595000</v>
      </c>
      <c r="W80" s="2">
        <f>U81*500</f>
        <v>4595000</v>
      </c>
    </row>
    <row r="81" spans="1:21" ht="13.5" customHeight="1" x14ac:dyDescent="0.2">
      <c r="A81" s="288"/>
      <c r="B81" s="290"/>
      <c r="C81" s="17"/>
      <c r="D81" s="18"/>
      <c r="E81" s="67"/>
      <c r="F81" s="62"/>
      <c r="G81" s="62"/>
      <c r="H81" s="62"/>
      <c r="I81" s="62"/>
      <c r="J81" s="27"/>
      <c r="K81" s="103"/>
      <c r="L81" s="154"/>
      <c r="M81" s="63">
        <f>U80</f>
        <v>18380000</v>
      </c>
      <c r="N81" s="63">
        <f>V80</f>
        <v>4595000</v>
      </c>
      <c r="O81" s="63">
        <f>W80</f>
        <v>4595000</v>
      </c>
      <c r="P81" s="64">
        <f t="shared" ref="P81:P97" si="5">M81/O81</f>
        <v>4</v>
      </c>
      <c r="Q81" s="65"/>
      <c r="R81" s="54">
        <f>O81*J81/$O$52</f>
        <v>0</v>
      </c>
      <c r="U81" s="2">
        <v>9190</v>
      </c>
    </row>
    <row r="82" spans="1:21" ht="13.5" customHeight="1" x14ac:dyDescent="0.2">
      <c r="A82" s="81">
        <v>41023</v>
      </c>
      <c r="B82" s="81">
        <v>41026</v>
      </c>
      <c r="C82" s="113" t="s">
        <v>48</v>
      </c>
      <c r="D82" s="114">
        <v>43146</v>
      </c>
      <c r="E82" s="116">
        <v>4.4499999999999998E-2</v>
      </c>
      <c r="F82" s="116">
        <v>5.3124999999999999E-2</v>
      </c>
      <c r="G82" s="116"/>
      <c r="H82" s="116">
        <v>6.25E-2</v>
      </c>
      <c r="I82" s="116"/>
      <c r="J82" s="117">
        <v>5.3124999999999999E-2</v>
      </c>
      <c r="K82" s="117"/>
      <c r="L82" s="118">
        <v>1000000</v>
      </c>
      <c r="M82" s="118">
        <v>2674000</v>
      </c>
      <c r="N82" s="118"/>
      <c r="O82" s="118">
        <v>1500000</v>
      </c>
      <c r="P82" s="119">
        <f t="shared" si="5"/>
        <v>1.7826666666666666</v>
      </c>
      <c r="Q82" s="120"/>
      <c r="R82" s="54"/>
      <c r="S82" s="55"/>
      <c r="T82" s="55"/>
    </row>
    <row r="83" spans="1:21" ht="13.5" customHeight="1" x14ac:dyDescent="0.2">
      <c r="A83" s="81"/>
      <c r="B83" s="81"/>
      <c r="C83" s="83" t="s">
        <v>49</v>
      </c>
      <c r="D83" s="84">
        <v>44576</v>
      </c>
      <c r="E83" s="86">
        <v>5.45E-2</v>
      </c>
      <c r="F83" s="86">
        <v>6.1562499999999999E-2</v>
      </c>
      <c r="G83" s="86"/>
      <c r="H83" s="86">
        <v>6.7500000000000004E-2</v>
      </c>
      <c r="I83" s="86"/>
      <c r="J83" s="87"/>
      <c r="K83" s="87"/>
      <c r="L83" s="88"/>
      <c r="M83" s="88">
        <v>441000</v>
      </c>
      <c r="N83" s="88"/>
      <c r="O83" s="88">
        <v>0</v>
      </c>
      <c r="P83" s="89" t="e">
        <f t="shared" si="5"/>
        <v>#DIV/0!</v>
      </c>
      <c r="Q83" s="90"/>
      <c r="R83" s="54" t="e">
        <f>O83*J83/$O$43</f>
        <v>#DIV/0!</v>
      </c>
      <c r="S83" s="55">
        <f>O83*J83/$R$10</f>
        <v>0</v>
      </c>
      <c r="T83" s="55"/>
    </row>
    <row r="84" spans="1:21" ht="13.5" customHeight="1" x14ac:dyDescent="0.25">
      <c r="A84" s="92"/>
      <c r="B84" s="91"/>
      <c r="C84" s="83" t="s">
        <v>50</v>
      </c>
      <c r="D84" s="84">
        <v>46402</v>
      </c>
      <c r="E84" s="86">
        <v>0.06</v>
      </c>
      <c r="F84" s="86">
        <v>6.5000000000000002E-2</v>
      </c>
      <c r="G84" s="86"/>
      <c r="H84" s="86">
        <v>7.0000000000000007E-2</v>
      </c>
      <c r="I84" s="86"/>
      <c r="J84" s="87">
        <v>6.5302399999999997E-2</v>
      </c>
      <c r="K84" s="87"/>
      <c r="L84" s="88"/>
      <c r="M84" s="88">
        <v>841000</v>
      </c>
      <c r="N84" s="88"/>
      <c r="O84" s="88">
        <v>320000</v>
      </c>
      <c r="P84" s="89">
        <f t="shared" si="5"/>
        <v>2.6281249999999998</v>
      </c>
      <c r="Q84" s="90"/>
      <c r="R84" s="54" t="e">
        <f>O84*J84/$O$43</f>
        <v>#DIV/0!</v>
      </c>
      <c r="S84" s="55">
        <f>O84*J84/$R$10</f>
        <v>21413325.071113043</v>
      </c>
      <c r="T84" s="55"/>
    </row>
    <row r="85" spans="1:21" ht="13.5" customHeight="1" x14ac:dyDescent="0.25">
      <c r="A85" s="131"/>
      <c r="B85" s="132"/>
      <c r="C85" s="133" t="s">
        <v>53</v>
      </c>
      <c r="D85" s="134">
        <v>50086</v>
      </c>
      <c r="E85" s="135">
        <v>6.0999999999999999E-2</v>
      </c>
      <c r="F85" s="135">
        <v>6.906255E-2</v>
      </c>
      <c r="G85" s="135"/>
      <c r="H85" s="135">
        <v>7.2499999999999995E-2</v>
      </c>
      <c r="I85" s="135"/>
      <c r="J85" s="136"/>
      <c r="K85" s="136"/>
      <c r="L85" s="137"/>
      <c r="M85" s="137">
        <v>235000</v>
      </c>
      <c r="N85" s="137"/>
      <c r="O85" s="137">
        <v>0</v>
      </c>
      <c r="P85" s="138" t="e">
        <f t="shared" si="5"/>
        <v>#DIV/0!</v>
      </c>
      <c r="Q85" s="139"/>
      <c r="R85" s="54" t="e">
        <f>O85*J85/$O$43</f>
        <v>#DIV/0!</v>
      </c>
      <c r="S85" s="55">
        <f>O85*J85/$R$10</f>
        <v>0</v>
      </c>
      <c r="T85" s="55"/>
    </row>
    <row r="86" spans="1:21" s="111" customFormat="1" ht="13.5" customHeight="1" x14ac:dyDescent="0.2">
      <c r="A86" s="112">
        <v>41026</v>
      </c>
      <c r="B86" s="112">
        <v>41026</v>
      </c>
      <c r="C86" s="113" t="s">
        <v>74</v>
      </c>
      <c r="D86" s="114">
        <v>42487</v>
      </c>
      <c r="E86" s="115">
        <v>5.0299999999999997E-2</v>
      </c>
      <c r="F86" s="116"/>
      <c r="G86" s="116"/>
      <c r="H86" s="116"/>
      <c r="I86" s="116"/>
      <c r="J86" s="117">
        <v>5.0299999999999997E-2</v>
      </c>
      <c r="K86" s="117"/>
      <c r="L86" s="118">
        <v>2500000</v>
      </c>
      <c r="M86" s="118">
        <v>1000000</v>
      </c>
      <c r="N86" s="118">
        <v>1000000</v>
      </c>
      <c r="O86" s="118">
        <v>1000000</v>
      </c>
      <c r="P86" s="119">
        <f t="shared" si="5"/>
        <v>1</v>
      </c>
      <c r="Q86" s="120"/>
      <c r="R86" s="109"/>
      <c r="S86" s="110">
        <f>O86*J86/$R$10</f>
        <v>51543389.440749206</v>
      </c>
      <c r="T86" s="110"/>
    </row>
    <row r="87" spans="1:21" s="111" customFormat="1" ht="13.5" customHeight="1" x14ac:dyDescent="0.25">
      <c r="A87" s="121"/>
      <c r="B87" s="122"/>
      <c r="C87" s="123" t="s">
        <v>75</v>
      </c>
      <c r="D87" s="124">
        <v>43948</v>
      </c>
      <c r="E87" s="125">
        <v>5.79E-2</v>
      </c>
      <c r="F87" s="126"/>
      <c r="G87" s="126"/>
      <c r="H87" s="126"/>
      <c r="I87" s="126"/>
      <c r="J87" s="127">
        <v>5.79E-2</v>
      </c>
      <c r="K87" s="127"/>
      <c r="L87" s="128"/>
      <c r="M87" s="128">
        <v>1500000</v>
      </c>
      <c r="N87" s="128">
        <v>1500000</v>
      </c>
      <c r="O87" s="128">
        <v>1500000</v>
      </c>
      <c r="P87" s="129">
        <f t="shared" si="5"/>
        <v>1</v>
      </c>
      <c r="Q87" s="130"/>
      <c r="R87" s="109"/>
      <c r="S87" s="110"/>
      <c r="T87" s="110"/>
    </row>
    <row r="88" spans="1:21" ht="13.5" customHeight="1" x14ac:dyDescent="0.2">
      <c r="A88" s="81">
        <v>41031</v>
      </c>
      <c r="B88" s="81">
        <v>41033</v>
      </c>
      <c r="C88" s="83" t="s">
        <v>78</v>
      </c>
      <c r="D88" s="84">
        <v>41396</v>
      </c>
      <c r="E88" s="85">
        <v>0</v>
      </c>
      <c r="F88" s="86">
        <v>0.04</v>
      </c>
      <c r="G88" s="86">
        <v>4.0236899999999999E-2</v>
      </c>
      <c r="H88" s="86">
        <v>4.4999999999999998E-2</v>
      </c>
      <c r="I88" s="86">
        <v>0.04</v>
      </c>
      <c r="J88" s="87">
        <v>4.0468799999999999E-2</v>
      </c>
      <c r="K88" s="87">
        <v>4.0625000000000001E-2</v>
      </c>
      <c r="L88" s="88">
        <v>6000000</v>
      </c>
      <c r="M88" s="88">
        <v>3550000</v>
      </c>
      <c r="N88" s="88">
        <v>900000</v>
      </c>
      <c r="O88" s="88">
        <v>900000</v>
      </c>
      <c r="P88" s="89">
        <f t="shared" si="5"/>
        <v>3.9444444444444446</v>
      </c>
      <c r="Q88" s="90">
        <v>4.0500000000000001E-2</v>
      </c>
      <c r="R88" s="54"/>
      <c r="S88" s="55">
        <f>O88*J88/$R$10</f>
        <v>37322250.631010182</v>
      </c>
      <c r="T88" s="55"/>
    </row>
    <row r="89" spans="1:21" ht="13.5" customHeight="1" x14ac:dyDescent="0.25">
      <c r="A89" s="92"/>
      <c r="B89" s="93"/>
      <c r="C89" s="83" t="s">
        <v>34</v>
      </c>
      <c r="D89" s="84">
        <v>42840</v>
      </c>
      <c r="E89" s="86">
        <v>6.25E-2</v>
      </c>
      <c r="F89" s="86">
        <v>5.1562499999999997E-2</v>
      </c>
      <c r="G89" s="86">
        <v>5.3037599999999997E-2</v>
      </c>
      <c r="H89" s="86">
        <v>5.5625000000000001E-2</v>
      </c>
      <c r="I89" s="86">
        <v>5.1562499999999997E-2</v>
      </c>
      <c r="J89" s="87">
        <v>5.2581299999999997E-2</v>
      </c>
      <c r="K89" s="87">
        <v>5.3124999999999999E-2</v>
      </c>
      <c r="L89" s="88"/>
      <c r="M89" s="88">
        <v>1562000</v>
      </c>
      <c r="N89" s="88">
        <v>1050000</v>
      </c>
      <c r="O89" s="88">
        <v>1050000</v>
      </c>
      <c r="P89" s="89">
        <f t="shared" si="5"/>
        <v>1.4876190476190476</v>
      </c>
      <c r="Q89" s="90">
        <v>5.2600000000000001E-2</v>
      </c>
      <c r="R89" s="54">
        <v>0</v>
      </c>
      <c r="S89" s="55">
        <v>0</v>
      </c>
      <c r="T89" s="55"/>
    </row>
    <row r="90" spans="1:21" ht="13.5" customHeight="1" x14ac:dyDescent="0.25">
      <c r="A90" s="92"/>
      <c r="B90" s="93"/>
      <c r="C90" s="83" t="s">
        <v>35</v>
      </c>
      <c r="D90" s="84">
        <v>44696</v>
      </c>
      <c r="E90" s="86">
        <v>7.0000000000000007E-2</v>
      </c>
      <c r="F90" s="86">
        <v>5.9687499999999998E-2</v>
      </c>
      <c r="G90" s="86">
        <v>6.0570300000000001E-2</v>
      </c>
      <c r="H90" s="86">
        <v>6.2812499999999993E-2</v>
      </c>
      <c r="I90" s="86">
        <v>5.9687499999999998E-2</v>
      </c>
      <c r="J90" s="87">
        <v>6.02964E-2</v>
      </c>
      <c r="K90" s="87">
        <v>6.0937499999999999E-2</v>
      </c>
      <c r="L90" s="88"/>
      <c r="M90" s="88">
        <v>3747500</v>
      </c>
      <c r="N90" s="88">
        <v>2750000</v>
      </c>
      <c r="O90" s="88">
        <v>2750000</v>
      </c>
      <c r="P90" s="89">
        <f t="shared" si="5"/>
        <v>1.3627272727272728</v>
      </c>
      <c r="Q90" s="90">
        <v>6.0299999999999999E-2</v>
      </c>
      <c r="R90" s="54">
        <v>0</v>
      </c>
      <c r="S90" s="55">
        <v>0</v>
      </c>
      <c r="T90" s="55"/>
    </row>
    <row r="91" spans="1:21" ht="13.5" customHeight="1" x14ac:dyDescent="0.25">
      <c r="A91" s="92"/>
      <c r="B91" s="93"/>
      <c r="C91" s="83" t="s">
        <v>32</v>
      </c>
      <c r="D91" s="84">
        <v>48380</v>
      </c>
      <c r="E91" s="86">
        <v>8.2500000000000004E-2</v>
      </c>
      <c r="F91" s="86">
        <v>6.7812499999999998E-2</v>
      </c>
      <c r="G91" s="86">
        <v>6.8773000000000001E-2</v>
      </c>
      <c r="H91" s="86">
        <v>7.0937500000000001E-2</v>
      </c>
      <c r="I91" s="86">
        <v>6.7812499999999998E-2</v>
      </c>
      <c r="J91" s="87">
        <v>6.8396399999999996E-2</v>
      </c>
      <c r="K91" s="87">
        <v>6.8750000000000006E-2</v>
      </c>
      <c r="L91" s="88"/>
      <c r="M91" s="88">
        <v>5862000</v>
      </c>
      <c r="N91" s="88">
        <v>2850000</v>
      </c>
      <c r="O91" s="88">
        <v>2850000</v>
      </c>
      <c r="P91" s="89">
        <f t="shared" si="5"/>
        <v>2.0568421052631578</v>
      </c>
      <c r="Q91" s="90">
        <v>6.8400000000000002E-2</v>
      </c>
      <c r="R91" s="54">
        <v>1.9887751488813776E-3</v>
      </c>
      <c r="S91" s="55">
        <v>29293528.561597757</v>
      </c>
      <c r="T91" s="60"/>
    </row>
    <row r="92" spans="1:21" ht="13.5" customHeight="1" x14ac:dyDescent="0.2">
      <c r="A92" s="58">
        <v>41037</v>
      </c>
      <c r="B92" s="59">
        <v>41039</v>
      </c>
      <c r="C92" s="17" t="s">
        <v>79</v>
      </c>
      <c r="D92" s="18">
        <v>41222</v>
      </c>
      <c r="E92" s="96"/>
      <c r="F92" s="26">
        <v>3.8124999999999999E-2</v>
      </c>
      <c r="G92" s="26"/>
      <c r="H92" s="26">
        <v>0.05</v>
      </c>
      <c r="I92" s="26"/>
      <c r="J92" s="26">
        <v>3.8288700000000002E-2</v>
      </c>
      <c r="K92" s="27"/>
      <c r="L92" s="21">
        <v>1000000</v>
      </c>
      <c r="M92" s="21">
        <v>1596000</v>
      </c>
      <c r="N92" s="21">
        <v>150000</v>
      </c>
      <c r="O92" s="21">
        <v>150000</v>
      </c>
      <c r="P92" s="64">
        <f t="shared" si="5"/>
        <v>10.64</v>
      </c>
      <c r="Q92" s="54"/>
      <c r="R92" s="54"/>
      <c r="S92" s="55">
        <f>O92*J92/$R$10</f>
        <v>5885276.4670378156</v>
      </c>
      <c r="T92" s="55"/>
    </row>
    <row r="93" spans="1:21" ht="13.5" customHeight="1" x14ac:dyDescent="0.25">
      <c r="A93" s="16"/>
      <c r="B93" s="1"/>
      <c r="C93" s="17" t="s">
        <v>48</v>
      </c>
      <c r="D93" s="18">
        <v>43146</v>
      </c>
      <c r="E93" s="96">
        <v>4.4499999999999998E-2</v>
      </c>
      <c r="F93" s="26">
        <v>5.6250000000000001E-2</v>
      </c>
      <c r="G93" s="26"/>
      <c r="H93" s="26">
        <v>6.5000000000000002E-2</v>
      </c>
      <c r="I93" s="26"/>
      <c r="J93" s="27"/>
      <c r="K93" s="27"/>
      <c r="L93" s="21"/>
      <c r="M93" s="21">
        <v>207000</v>
      </c>
      <c r="N93" s="21"/>
      <c r="O93" s="21"/>
      <c r="P93" s="64"/>
      <c r="Q93" s="54"/>
      <c r="R93" s="54"/>
      <c r="S93" s="55"/>
      <c r="T93" s="55"/>
    </row>
    <row r="94" spans="1:21" ht="13.5" customHeight="1" x14ac:dyDescent="0.25">
      <c r="A94" s="16"/>
      <c r="B94" s="1"/>
      <c r="C94" s="17" t="s">
        <v>49</v>
      </c>
      <c r="D94" s="18">
        <v>44576</v>
      </c>
      <c r="E94" s="96">
        <v>5.45E-2</v>
      </c>
      <c r="F94" s="26">
        <v>6.1874999999999999E-2</v>
      </c>
      <c r="G94" s="26"/>
      <c r="H94" s="26">
        <v>7.0000000000000007E-2</v>
      </c>
      <c r="I94" s="26"/>
      <c r="J94" s="27">
        <v>6.2195100000000003E-2</v>
      </c>
      <c r="K94" s="27"/>
      <c r="L94" s="21"/>
      <c r="M94" s="21">
        <v>361000</v>
      </c>
      <c r="N94" s="21">
        <v>225000</v>
      </c>
      <c r="O94" s="21">
        <v>225000</v>
      </c>
      <c r="P94" s="64">
        <f t="shared" si="5"/>
        <v>1.6044444444444443</v>
      </c>
      <c r="Q94" s="54"/>
      <c r="R94" s="54" t="e">
        <f>O94*J94/$O$43</f>
        <v>#DIV/0!</v>
      </c>
      <c r="S94" s="55">
        <f>O94*J94/$R$10</f>
        <v>14339819.257185424</v>
      </c>
      <c r="T94" s="55"/>
    </row>
    <row r="95" spans="1:21" ht="13.5" customHeight="1" x14ac:dyDescent="0.25">
      <c r="A95" s="16"/>
      <c r="B95" s="1"/>
      <c r="C95" s="17" t="s">
        <v>50</v>
      </c>
      <c r="D95" s="18">
        <v>46402</v>
      </c>
      <c r="E95" s="26">
        <v>0.06</v>
      </c>
      <c r="F95" s="26">
        <v>6.5625000000000003E-2</v>
      </c>
      <c r="G95" s="26"/>
      <c r="H95" s="26">
        <v>7.7499999999999999E-2</v>
      </c>
      <c r="I95" s="26"/>
      <c r="J95" s="27">
        <v>6.6106200000000004E-2</v>
      </c>
      <c r="K95" s="27"/>
      <c r="L95" s="21"/>
      <c r="M95" s="21">
        <v>651000</v>
      </c>
      <c r="N95" s="21">
        <v>640000</v>
      </c>
      <c r="O95" s="21">
        <v>640000</v>
      </c>
      <c r="P95" s="64">
        <f t="shared" si="5"/>
        <v>1.0171874999999999</v>
      </c>
      <c r="Q95" s="100"/>
      <c r="R95" s="54" t="e">
        <f>O95*J95/$O$43</f>
        <v>#DIV/0!</v>
      </c>
      <c r="S95" s="55">
        <f>O95*J95/$R$10</f>
        <v>43353798.629637286</v>
      </c>
      <c r="T95" s="55"/>
    </row>
    <row r="96" spans="1:21" ht="13.5" customHeight="1" x14ac:dyDescent="0.25">
      <c r="A96" s="16"/>
      <c r="B96" s="1"/>
      <c r="C96" s="17" t="s">
        <v>53</v>
      </c>
      <c r="D96" s="18">
        <v>50086</v>
      </c>
      <c r="E96" s="26">
        <v>6.0999999999999999E-2</v>
      </c>
      <c r="F96" s="26">
        <v>6.9375000000000006E-2</v>
      </c>
      <c r="G96" s="26"/>
      <c r="H96" s="26">
        <v>7.1874999999999994E-2</v>
      </c>
      <c r="I96" s="26"/>
      <c r="J96" s="27"/>
      <c r="K96" s="27"/>
      <c r="L96" s="21"/>
      <c r="M96" s="21">
        <v>264000</v>
      </c>
      <c r="N96" s="21"/>
      <c r="O96" s="21"/>
      <c r="P96" s="64"/>
      <c r="Q96" s="100"/>
      <c r="R96" s="54" t="e">
        <f>O96*J96/$O$43</f>
        <v>#DIV/0!</v>
      </c>
      <c r="S96" s="55">
        <f>O96*J96/$R$10</f>
        <v>0</v>
      </c>
      <c r="T96" s="55"/>
    </row>
    <row r="97" spans="1:20" ht="13.5" customHeight="1" x14ac:dyDescent="0.2">
      <c r="A97" s="58">
        <v>41038</v>
      </c>
      <c r="B97" s="59">
        <v>41039</v>
      </c>
      <c r="C97" s="17" t="s">
        <v>80</v>
      </c>
      <c r="D97" s="18">
        <v>41222</v>
      </c>
      <c r="E97" s="26"/>
      <c r="F97" s="26"/>
      <c r="G97" s="26"/>
      <c r="H97" s="26"/>
      <c r="I97" s="26"/>
      <c r="J97" s="26">
        <v>3.8288700000000002E-2</v>
      </c>
      <c r="K97" s="27"/>
      <c r="L97" s="21"/>
      <c r="M97" s="21">
        <v>755000</v>
      </c>
      <c r="N97" s="21">
        <v>755000</v>
      </c>
      <c r="O97" s="21">
        <v>755000</v>
      </c>
      <c r="P97" s="64">
        <f t="shared" si="5"/>
        <v>1</v>
      </c>
      <c r="Q97" s="100"/>
      <c r="R97" s="54"/>
      <c r="S97" s="55"/>
      <c r="T97" s="55"/>
    </row>
    <row r="98" spans="1:20" ht="13.5" customHeight="1" x14ac:dyDescent="0.2">
      <c r="A98" s="112">
        <v>41043</v>
      </c>
      <c r="B98" s="112">
        <v>41045</v>
      </c>
      <c r="C98" s="113" t="s">
        <v>81</v>
      </c>
      <c r="D98" s="114">
        <v>41108</v>
      </c>
      <c r="E98" s="115">
        <v>0</v>
      </c>
      <c r="F98" s="116">
        <v>3.5000000000000003E-2</v>
      </c>
      <c r="G98" s="116">
        <v>4.0708599999999998E-2</v>
      </c>
      <c r="H98" s="116">
        <v>4.2500000000000003E-2</v>
      </c>
      <c r="I98" s="116"/>
      <c r="J98" s="117"/>
      <c r="K98" s="117"/>
      <c r="L98" s="118">
        <v>6000000</v>
      </c>
      <c r="M98" s="118">
        <v>2655000</v>
      </c>
      <c r="N98" s="118">
        <v>0</v>
      </c>
      <c r="O98" s="118">
        <v>0</v>
      </c>
      <c r="P98" s="119">
        <v>0</v>
      </c>
      <c r="Q98" s="120">
        <v>3.2899999999999999E-2</v>
      </c>
      <c r="R98" s="54"/>
      <c r="S98" s="55">
        <f>O98*J98/$R$10</f>
        <v>0</v>
      </c>
      <c r="T98" s="55"/>
    </row>
    <row r="99" spans="1:20" ht="13.5" customHeight="1" x14ac:dyDescent="0.25">
      <c r="A99" s="92"/>
      <c r="B99" s="91"/>
      <c r="C99" s="83" t="s">
        <v>82</v>
      </c>
      <c r="D99" s="84">
        <v>41368</v>
      </c>
      <c r="E99" s="85">
        <v>0</v>
      </c>
      <c r="F99" s="86">
        <v>4.1875000000000002E-2</v>
      </c>
      <c r="G99" s="86">
        <v>4.6793800000000003E-2</v>
      </c>
      <c r="H99" s="86">
        <v>0.05</v>
      </c>
      <c r="I99" s="86"/>
      <c r="J99" s="87"/>
      <c r="K99" s="87"/>
      <c r="L99" s="88"/>
      <c r="M99" s="88">
        <v>2780000</v>
      </c>
      <c r="N99" s="88">
        <v>0</v>
      </c>
      <c r="O99" s="88">
        <v>0</v>
      </c>
      <c r="P99" s="89">
        <v>0</v>
      </c>
      <c r="Q99" s="90">
        <v>3.9699999999999999E-2</v>
      </c>
      <c r="R99" s="54"/>
      <c r="S99" s="55"/>
      <c r="T99" s="55"/>
    </row>
    <row r="100" spans="1:20" ht="13.5" customHeight="1" x14ac:dyDescent="0.25">
      <c r="A100" s="92"/>
      <c r="B100" s="93"/>
      <c r="C100" s="83" t="s">
        <v>35</v>
      </c>
      <c r="D100" s="84">
        <v>44696</v>
      </c>
      <c r="E100" s="86">
        <v>7.0000000000000007E-2</v>
      </c>
      <c r="F100" s="86">
        <v>6.2812499999999993E-2</v>
      </c>
      <c r="G100" s="86">
        <v>6.4113299999999998E-2</v>
      </c>
      <c r="H100" s="86">
        <v>6.5937499999999996E-2</v>
      </c>
      <c r="I100" s="86">
        <v>6.2812499999999993E-2</v>
      </c>
      <c r="J100" s="87">
        <v>6.2980800000000003E-2</v>
      </c>
      <c r="K100" s="87">
        <v>6.3125000000000001E-2</v>
      </c>
      <c r="L100" s="88"/>
      <c r="M100" s="88">
        <v>3511000</v>
      </c>
      <c r="N100" s="88">
        <v>500000</v>
      </c>
      <c r="O100" s="88">
        <v>500000</v>
      </c>
      <c r="P100" s="89">
        <f>M100/O100</f>
        <v>7.0220000000000002</v>
      </c>
      <c r="Q100" s="90">
        <v>6.3E-2</v>
      </c>
      <c r="R100" s="54">
        <v>0</v>
      </c>
      <c r="S100" s="55">
        <v>0</v>
      </c>
      <c r="T100" s="55"/>
    </row>
    <row r="101" spans="1:20" ht="13.5" customHeight="1" x14ac:dyDescent="0.25">
      <c r="A101" s="92"/>
      <c r="B101" s="93"/>
      <c r="C101" s="83" t="s">
        <v>43</v>
      </c>
      <c r="D101" s="84">
        <v>46522</v>
      </c>
      <c r="E101" s="86">
        <v>7.0000000000000007E-2</v>
      </c>
      <c r="F101" s="86">
        <v>6.6875000000000004E-2</v>
      </c>
      <c r="G101" s="86">
        <v>6.7849499999999993E-2</v>
      </c>
      <c r="H101" s="86">
        <v>7.0000000000000007E-2</v>
      </c>
      <c r="I101" s="86">
        <v>6.6875000000000004E-2</v>
      </c>
      <c r="J101" s="86">
        <v>6.6875000000000004E-2</v>
      </c>
      <c r="K101" s="86">
        <v>6.6875000000000004E-2</v>
      </c>
      <c r="L101" s="88"/>
      <c r="M101" s="88">
        <v>2100000</v>
      </c>
      <c r="N101" s="88">
        <v>300000</v>
      </c>
      <c r="O101" s="88">
        <v>275000</v>
      </c>
      <c r="P101" s="89">
        <f>M101/O101</f>
        <v>7.6363636363636367</v>
      </c>
      <c r="Q101" s="90">
        <v>6.6900000000000001E-2</v>
      </c>
      <c r="R101" s="54">
        <v>0</v>
      </c>
      <c r="S101" s="55">
        <v>0</v>
      </c>
      <c r="T101" s="55"/>
    </row>
    <row r="102" spans="1:20" ht="13.5" customHeight="1" x14ac:dyDescent="0.25">
      <c r="A102" s="121"/>
      <c r="B102" s="141"/>
      <c r="C102" s="123" t="s">
        <v>32</v>
      </c>
      <c r="D102" s="124">
        <v>48380</v>
      </c>
      <c r="E102" s="126">
        <v>8.2500000000000004E-2</v>
      </c>
      <c r="F102" s="126">
        <v>7.0000000000000007E-2</v>
      </c>
      <c r="G102" s="126">
        <v>7.1698100000000001E-2</v>
      </c>
      <c r="H102" s="126">
        <v>7.4999999999999997E-2</v>
      </c>
      <c r="I102" s="126"/>
      <c r="J102" s="127"/>
      <c r="K102" s="127"/>
      <c r="L102" s="128"/>
      <c r="M102" s="128">
        <v>2263000</v>
      </c>
      <c r="N102" s="128">
        <v>0</v>
      </c>
      <c r="O102" s="128">
        <v>0</v>
      </c>
      <c r="P102" s="129"/>
      <c r="Q102" s="130">
        <v>6.9500000000000006E-2</v>
      </c>
      <c r="R102" s="54">
        <v>1.9887751488813776E-3</v>
      </c>
      <c r="S102" s="55">
        <v>29293528.561597757</v>
      </c>
      <c r="T102" s="60"/>
    </row>
    <row r="103" spans="1:20" ht="13.5" customHeight="1" x14ac:dyDescent="0.2">
      <c r="A103" s="58">
        <v>41051</v>
      </c>
      <c r="B103" s="59">
        <v>41053</v>
      </c>
      <c r="C103" s="17" t="s">
        <v>48</v>
      </c>
      <c r="D103" s="18">
        <v>43146</v>
      </c>
      <c r="E103" s="96">
        <v>4.4499999999999998E-2</v>
      </c>
      <c r="F103" s="26"/>
      <c r="G103" s="26"/>
      <c r="H103" s="26"/>
      <c r="I103" s="26"/>
      <c r="J103" s="27"/>
      <c r="K103" s="27"/>
      <c r="L103" s="21">
        <v>1000000</v>
      </c>
      <c r="M103" s="21">
        <v>145000</v>
      </c>
      <c r="N103" s="21">
        <v>115000</v>
      </c>
      <c r="O103" s="21">
        <v>115000</v>
      </c>
      <c r="P103" s="64"/>
      <c r="Q103" s="54"/>
      <c r="R103" s="54"/>
      <c r="S103" s="55">
        <f>O103*J103/$R$10</f>
        <v>0</v>
      </c>
      <c r="T103" s="55"/>
    </row>
    <row r="104" spans="1:20" ht="13.5" customHeight="1" x14ac:dyDescent="0.25">
      <c r="A104" s="16"/>
      <c r="B104" s="1"/>
      <c r="C104" s="17" t="s">
        <v>49</v>
      </c>
      <c r="D104" s="18">
        <v>44576</v>
      </c>
      <c r="E104" s="96">
        <v>5.45E-2</v>
      </c>
      <c r="F104" s="26"/>
      <c r="G104" s="26"/>
      <c r="H104" s="26"/>
      <c r="I104" s="26"/>
      <c r="J104" s="27"/>
      <c r="K104" s="27"/>
      <c r="L104" s="21"/>
      <c r="M104" s="21">
        <v>306000</v>
      </c>
      <c r="N104" s="21">
        <v>105000</v>
      </c>
      <c r="O104" s="21">
        <v>105000</v>
      </c>
      <c r="P104" s="64"/>
      <c r="Q104" s="54"/>
      <c r="R104" s="54"/>
      <c r="S104" s="55"/>
      <c r="T104" s="55"/>
    </row>
    <row r="105" spans="1:20" ht="13.5" customHeight="1" x14ac:dyDescent="0.25">
      <c r="A105" s="16"/>
      <c r="B105" s="1"/>
      <c r="C105" s="17" t="s">
        <v>50</v>
      </c>
      <c r="D105" s="18">
        <v>46402</v>
      </c>
      <c r="E105" s="26">
        <v>0.06</v>
      </c>
      <c r="F105" s="26"/>
      <c r="G105" s="26"/>
      <c r="H105" s="26"/>
      <c r="I105" s="26"/>
      <c r="J105" s="27"/>
      <c r="K105" s="27"/>
      <c r="L105" s="21"/>
      <c r="M105" s="21">
        <v>124000</v>
      </c>
      <c r="N105" s="21"/>
      <c r="O105" s="21"/>
      <c r="P105" s="64"/>
      <c r="Q105" s="100"/>
      <c r="R105" s="54" t="e">
        <f>O105*J105/$O$43</f>
        <v>#DIV/0!</v>
      </c>
      <c r="S105" s="55">
        <f>O105*J105/$R$10</f>
        <v>0</v>
      </c>
      <c r="T105" s="55"/>
    </row>
    <row r="106" spans="1:20" ht="13.5" customHeight="1" x14ac:dyDescent="0.25">
      <c r="A106" s="16"/>
      <c r="B106" s="1"/>
      <c r="C106" s="17" t="s">
        <v>53</v>
      </c>
      <c r="D106" s="18">
        <v>50086</v>
      </c>
      <c r="E106" s="26">
        <v>6.0999999999999999E-2</v>
      </c>
      <c r="F106" s="26"/>
      <c r="G106" s="26"/>
      <c r="H106" s="26"/>
      <c r="I106" s="26"/>
      <c r="J106" s="27"/>
      <c r="K106" s="27"/>
      <c r="L106" s="21"/>
      <c r="M106" s="21">
        <v>843000</v>
      </c>
      <c r="N106" s="21">
        <v>330000</v>
      </c>
      <c r="O106" s="21">
        <v>330000</v>
      </c>
      <c r="P106" s="64"/>
      <c r="Q106" s="100"/>
      <c r="R106" s="54" t="e">
        <f>O106*J106/$O$43</f>
        <v>#DIV/0!</v>
      </c>
      <c r="S106" s="55">
        <f>O106*J106/$R$10</f>
        <v>0</v>
      </c>
      <c r="T106" s="55"/>
    </row>
    <row r="107" spans="1:20" ht="13.5" customHeight="1" x14ac:dyDescent="0.2">
      <c r="A107" s="58">
        <v>41059</v>
      </c>
      <c r="B107" s="59">
        <v>41059</v>
      </c>
      <c r="C107" s="17" t="s">
        <v>84</v>
      </c>
      <c r="D107" s="18">
        <v>43250</v>
      </c>
      <c r="E107" s="26">
        <v>6.0600000000000001E-2</v>
      </c>
      <c r="F107" s="26"/>
      <c r="G107" s="26"/>
      <c r="H107" s="26"/>
      <c r="I107" s="26"/>
      <c r="J107" s="26">
        <v>6.0600000000000001E-2</v>
      </c>
      <c r="K107" s="27"/>
      <c r="L107" s="21"/>
      <c r="M107" s="21">
        <v>2500000</v>
      </c>
      <c r="N107" s="21">
        <v>2500000</v>
      </c>
      <c r="O107" s="21">
        <v>2500000</v>
      </c>
      <c r="P107" s="64">
        <f>M107/O107</f>
        <v>1</v>
      </c>
      <c r="Q107" s="100"/>
      <c r="R107" s="54"/>
      <c r="S107" s="55"/>
      <c r="T107" s="55"/>
    </row>
    <row r="108" spans="1:20" ht="13.5" customHeight="1" x14ac:dyDescent="0.2">
      <c r="A108" s="112">
        <v>41065</v>
      </c>
      <c r="B108" s="112">
        <v>41067</v>
      </c>
      <c r="C108" s="113" t="s">
        <v>83</v>
      </c>
      <c r="D108" s="114">
        <v>41431</v>
      </c>
      <c r="E108" s="115">
        <v>0</v>
      </c>
      <c r="F108" s="116">
        <v>4.1250000000000002E-2</v>
      </c>
      <c r="G108" s="116">
        <v>4.5435400000000001E-2</v>
      </c>
      <c r="H108" s="116">
        <v>4.8125000000000001E-2</v>
      </c>
      <c r="I108" s="86">
        <v>4.1250000000000002E-2</v>
      </c>
      <c r="J108" s="86">
        <v>4.1250000000000002E-2</v>
      </c>
      <c r="K108" s="86">
        <v>4.1250000000000002E-2</v>
      </c>
      <c r="L108" s="118">
        <v>5000000</v>
      </c>
      <c r="M108" s="118">
        <v>2425000</v>
      </c>
      <c r="N108" s="118">
        <v>1780000</v>
      </c>
      <c r="O108" s="118">
        <v>730000</v>
      </c>
      <c r="P108" s="89">
        <f t="shared" ref="P108:P113" si="6">M108/O108</f>
        <v>3.3219178082191783</v>
      </c>
      <c r="Q108" s="120">
        <v>4.4499999999999998E-2</v>
      </c>
      <c r="R108" s="54"/>
      <c r="S108" s="55">
        <f>O108*J108/$R$10</f>
        <v>30856865.100090668</v>
      </c>
      <c r="T108" s="55"/>
    </row>
    <row r="109" spans="1:20" ht="13.5" customHeight="1" x14ac:dyDescent="0.25">
      <c r="A109" s="92"/>
      <c r="B109" s="91"/>
      <c r="C109" s="83" t="s">
        <v>34</v>
      </c>
      <c r="D109" s="84">
        <v>42840</v>
      </c>
      <c r="E109" s="86">
        <v>6.25E-2</v>
      </c>
      <c r="F109" s="86">
        <v>5.4062499999999999E-2</v>
      </c>
      <c r="G109" s="86">
        <v>5.6661599999999999E-2</v>
      </c>
      <c r="H109" s="86">
        <v>0.06</v>
      </c>
      <c r="I109" s="86">
        <v>5.4062499999999999E-2</v>
      </c>
      <c r="J109" s="86">
        <v>5.5689500000000003E-2</v>
      </c>
      <c r="K109" s="86">
        <v>5.6562500000000002E-2</v>
      </c>
      <c r="L109" s="88"/>
      <c r="M109" s="88">
        <v>2680000</v>
      </c>
      <c r="N109" s="88">
        <v>1550000</v>
      </c>
      <c r="O109" s="88">
        <v>1550000</v>
      </c>
      <c r="P109" s="89">
        <f t="shared" si="6"/>
        <v>1.7290322580645161</v>
      </c>
      <c r="Q109" s="90">
        <v>5.57E-2</v>
      </c>
      <c r="R109" s="54"/>
      <c r="S109" s="55"/>
      <c r="T109" s="55"/>
    </row>
    <row r="110" spans="1:20" ht="13.5" customHeight="1" x14ac:dyDescent="0.25">
      <c r="A110" s="92"/>
      <c r="B110" s="93"/>
      <c r="C110" s="83" t="s">
        <v>35</v>
      </c>
      <c r="D110" s="84">
        <v>44696</v>
      </c>
      <c r="E110" s="86">
        <v>7.0000000000000007E-2</v>
      </c>
      <c r="F110" s="86">
        <v>6.4375000000000002E-2</v>
      </c>
      <c r="G110" s="86">
        <v>6.53035E-2</v>
      </c>
      <c r="H110" s="86">
        <v>6.8750000000000006E-2</v>
      </c>
      <c r="I110" s="86">
        <v>6.4375000000000002E-2</v>
      </c>
      <c r="J110" s="86">
        <v>6.5028199999999994E-2</v>
      </c>
      <c r="K110" s="86">
        <v>6.5625000000000003E-2</v>
      </c>
      <c r="L110" s="88"/>
      <c r="M110" s="88">
        <v>4652000</v>
      </c>
      <c r="N110" s="88">
        <v>3800000</v>
      </c>
      <c r="O110" s="88">
        <v>3500000</v>
      </c>
      <c r="P110" s="89">
        <f t="shared" si="6"/>
        <v>1.3291428571428572</v>
      </c>
      <c r="Q110" s="90">
        <v>6.5100000000000005E-2</v>
      </c>
      <c r="R110" s="54">
        <v>0</v>
      </c>
      <c r="S110" s="55">
        <v>0</v>
      </c>
      <c r="T110" s="55"/>
    </row>
    <row r="111" spans="1:20" ht="13.5" customHeight="1" x14ac:dyDescent="0.25">
      <c r="A111" s="92"/>
      <c r="B111" s="93"/>
      <c r="C111" s="123" t="s">
        <v>32</v>
      </c>
      <c r="D111" s="124">
        <v>48380</v>
      </c>
      <c r="E111" s="126">
        <v>8.2500000000000004E-2</v>
      </c>
      <c r="F111" s="86">
        <v>7.2187500000000002E-2</v>
      </c>
      <c r="G111" s="86">
        <v>7.2802599999999995E-2</v>
      </c>
      <c r="H111" s="86">
        <v>7.3749999999999996E-2</v>
      </c>
      <c r="I111" s="86">
        <v>7.2187500000000002E-2</v>
      </c>
      <c r="J111" s="86">
        <v>7.2480900000000001E-2</v>
      </c>
      <c r="K111" s="86">
        <v>7.2499999999999995E-2</v>
      </c>
      <c r="L111" s="88"/>
      <c r="M111" s="88">
        <v>4410000</v>
      </c>
      <c r="N111" s="88">
        <v>1900000</v>
      </c>
      <c r="O111" s="88">
        <v>1720000</v>
      </c>
      <c r="P111" s="89">
        <f t="shared" si="6"/>
        <v>2.5639534883720931</v>
      </c>
      <c r="Q111" s="90">
        <v>7.2499999999999995E-2</v>
      </c>
      <c r="R111" s="54">
        <v>0</v>
      </c>
      <c r="S111" s="55">
        <v>0</v>
      </c>
      <c r="T111" s="55"/>
    </row>
    <row r="112" spans="1:20" ht="13.5" customHeight="1" x14ac:dyDescent="0.2">
      <c r="A112" s="58">
        <v>41072</v>
      </c>
      <c r="B112" s="59">
        <v>41074</v>
      </c>
      <c r="C112" s="17" t="s">
        <v>85</v>
      </c>
      <c r="D112" s="18"/>
      <c r="E112" s="96"/>
      <c r="F112" s="26"/>
      <c r="G112" s="26"/>
      <c r="H112" s="26"/>
      <c r="I112" s="26"/>
      <c r="J112" s="26"/>
      <c r="K112" s="27"/>
      <c r="L112" s="21">
        <v>1000000</v>
      </c>
      <c r="M112" s="21">
        <v>726000</v>
      </c>
      <c r="N112" s="21"/>
      <c r="O112" s="21"/>
      <c r="P112" s="64"/>
      <c r="Q112" s="54"/>
      <c r="R112" s="54"/>
      <c r="S112" s="55">
        <f>O112*J112/$R$10</f>
        <v>0</v>
      </c>
      <c r="T112" s="55"/>
    </row>
    <row r="113" spans="1:20" ht="13.5" customHeight="1" x14ac:dyDescent="0.25">
      <c r="A113" s="16"/>
      <c r="B113" s="1"/>
      <c r="C113" s="17" t="s">
        <v>48</v>
      </c>
      <c r="D113" s="18">
        <v>43146</v>
      </c>
      <c r="E113" s="96">
        <v>4.4499999999999998E-2</v>
      </c>
      <c r="F113" s="26"/>
      <c r="G113" s="26"/>
      <c r="H113" s="26"/>
      <c r="I113" s="26"/>
      <c r="J113" s="27"/>
      <c r="K113" s="27"/>
      <c r="L113" s="21"/>
      <c r="M113" s="21">
        <v>1146000</v>
      </c>
      <c r="N113" s="21"/>
      <c r="O113" s="21">
        <v>800000</v>
      </c>
      <c r="P113" s="64">
        <f t="shared" si="6"/>
        <v>1.4325000000000001</v>
      </c>
      <c r="Q113" s="54"/>
      <c r="R113" s="54"/>
      <c r="S113" s="55"/>
      <c r="T113" s="55"/>
    </row>
    <row r="114" spans="1:20" ht="13.5" customHeight="1" x14ac:dyDescent="0.25">
      <c r="A114" s="16"/>
      <c r="B114" s="1"/>
      <c r="C114" s="17" t="s">
        <v>49</v>
      </c>
      <c r="D114" s="18">
        <v>44576</v>
      </c>
      <c r="E114" s="96">
        <v>5.45E-2</v>
      </c>
      <c r="F114" s="26"/>
      <c r="G114" s="26"/>
      <c r="H114" s="26"/>
      <c r="I114" s="26"/>
      <c r="J114" s="27"/>
      <c r="K114" s="27"/>
      <c r="L114" s="21"/>
      <c r="M114" s="21">
        <v>101000</v>
      </c>
      <c r="N114" s="21"/>
      <c r="O114" s="21"/>
      <c r="P114" s="64"/>
      <c r="Q114" s="54"/>
      <c r="R114" s="54" t="e">
        <f>O114*J114/$O$43</f>
        <v>#DIV/0!</v>
      </c>
      <c r="S114" s="55">
        <f>O114*J114/$R$10</f>
        <v>0</v>
      </c>
      <c r="T114" s="55"/>
    </row>
    <row r="115" spans="1:20" ht="13.5" customHeight="1" x14ac:dyDescent="0.25">
      <c r="A115" s="16"/>
      <c r="B115" s="1"/>
      <c r="C115" s="17" t="s">
        <v>50</v>
      </c>
      <c r="D115" s="18">
        <v>46402</v>
      </c>
      <c r="E115" s="26">
        <v>0.06</v>
      </c>
      <c r="F115" s="26"/>
      <c r="G115" s="26"/>
      <c r="H115" s="26"/>
      <c r="I115" s="26"/>
      <c r="J115" s="27"/>
      <c r="K115" s="27"/>
      <c r="L115" s="21"/>
      <c r="M115" s="21">
        <v>31000</v>
      </c>
      <c r="N115" s="21"/>
      <c r="O115" s="21"/>
      <c r="P115" s="64"/>
      <c r="Q115" s="100"/>
      <c r="R115" s="54" t="e">
        <f>O115*J115/$O$43</f>
        <v>#DIV/0!</v>
      </c>
      <c r="S115" s="55">
        <f>O115*J115/$R$10</f>
        <v>0</v>
      </c>
      <c r="T115" s="55"/>
    </row>
    <row r="116" spans="1:20" ht="13.5" customHeight="1" x14ac:dyDescent="0.25">
      <c r="A116" s="16"/>
      <c r="B116" s="1"/>
      <c r="C116" s="17" t="s">
        <v>53</v>
      </c>
      <c r="D116" s="18">
        <v>50086</v>
      </c>
      <c r="E116" s="26">
        <v>6.0999999999999999E-2</v>
      </c>
      <c r="F116" s="26"/>
      <c r="G116" s="26"/>
      <c r="H116" s="26"/>
      <c r="I116" s="26"/>
      <c r="J116" s="27"/>
      <c r="K116" s="27"/>
      <c r="L116" s="21"/>
      <c r="M116" s="21">
        <v>259000</v>
      </c>
      <c r="N116" s="21"/>
      <c r="O116" s="21"/>
      <c r="P116" s="64"/>
      <c r="Q116" s="100"/>
      <c r="R116" s="54" t="e">
        <f>O116*J116/$O$43</f>
        <v>#DIV/0!</v>
      </c>
      <c r="S116" s="55">
        <f>O116*J116/$R$10</f>
        <v>0</v>
      </c>
      <c r="T116" s="55"/>
    </row>
    <row r="117" spans="1:20" ht="13.5" customHeight="1" x14ac:dyDescent="0.2">
      <c r="A117" s="112">
        <v>41079</v>
      </c>
      <c r="B117" s="112">
        <v>41081</v>
      </c>
      <c r="C117" s="113" t="s">
        <v>86</v>
      </c>
      <c r="D117" s="114">
        <v>41172</v>
      </c>
      <c r="E117" s="115">
        <v>0</v>
      </c>
      <c r="F117" s="116">
        <v>3.8124999999999999E-2</v>
      </c>
      <c r="G117" s="116">
        <v>4.0517400000000002E-2</v>
      </c>
      <c r="H117" s="116">
        <v>4.2812500000000003E-2</v>
      </c>
      <c r="I117" s="116">
        <v>3.8124999999999999E-2</v>
      </c>
      <c r="J117" s="117">
        <v>3.8978100000000002E-2</v>
      </c>
      <c r="K117" s="117">
        <v>3.9375E-2</v>
      </c>
      <c r="L117" s="118">
        <v>5000000</v>
      </c>
      <c r="M117" s="118">
        <v>1685000</v>
      </c>
      <c r="N117" s="118">
        <v>500000</v>
      </c>
      <c r="O117" s="118">
        <v>500000</v>
      </c>
      <c r="P117" s="89">
        <f t="shared" ref="P117:P122" si="7">M117/O117</f>
        <v>3.37</v>
      </c>
      <c r="Q117" s="120">
        <v>3.9E-2</v>
      </c>
      <c r="R117" s="54"/>
      <c r="S117" s="55">
        <f>O117*J117/$R$10</f>
        <v>19970809.025451954</v>
      </c>
      <c r="T117" s="55"/>
    </row>
    <row r="118" spans="1:20" ht="13.5" customHeight="1" x14ac:dyDescent="0.25">
      <c r="A118" s="92"/>
      <c r="B118" s="91"/>
      <c r="C118" s="113" t="s">
        <v>87</v>
      </c>
      <c r="D118" s="114">
        <v>41431</v>
      </c>
      <c r="E118" s="85">
        <v>0</v>
      </c>
      <c r="F118" s="86">
        <v>4.2500000000000003E-2</v>
      </c>
      <c r="G118" s="86">
        <v>4.4346900000000002E-2</v>
      </c>
      <c r="H118" s="86">
        <v>4.8750000000000002E-2</v>
      </c>
      <c r="I118" s="86">
        <v>4.2500000000000003E-2</v>
      </c>
      <c r="J118" s="87">
        <v>4.3333299999999998E-2</v>
      </c>
      <c r="K118" s="87">
        <v>4.3749999999999997E-2</v>
      </c>
      <c r="L118" s="88"/>
      <c r="M118" s="88">
        <v>1271400</v>
      </c>
      <c r="N118" s="88">
        <v>1250000</v>
      </c>
      <c r="O118" s="88">
        <v>1150000</v>
      </c>
      <c r="P118" s="89">
        <f t="shared" si="7"/>
        <v>1.1055652173913044</v>
      </c>
      <c r="Q118" s="90">
        <v>4.3999999999999997E-2</v>
      </c>
      <c r="R118" s="54"/>
      <c r="S118" s="55"/>
      <c r="T118" s="55"/>
    </row>
    <row r="119" spans="1:20" ht="13.5" customHeight="1" x14ac:dyDescent="0.25">
      <c r="A119" s="92"/>
      <c r="B119" s="93"/>
      <c r="C119" s="83" t="s">
        <v>35</v>
      </c>
      <c r="D119" s="84">
        <v>44696</v>
      </c>
      <c r="E119" s="86">
        <v>7.0000000000000007E-2</v>
      </c>
      <c r="F119" s="86">
        <v>6.3437499999999994E-2</v>
      </c>
      <c r="G119" s="86">
        <v>6.4400700000000005E-2</v>
      </c>
      <c r="H119" s="86">
        <v>6.5625000000000003E-2</v>
      </c>
      <c r="I119" s="86">
        <v>6.3437499999999994E-2</v>
      </c>
      <c r="J119" s="87">
        <v>6.3898899999999995E-2</v>
      </c>
      <c r="K119" s="87">
        <v>6.4062499999999994E-2</v>
      </c>
      <c r="L119" s="88"/>
      <c r="M119" s="88">
        <v>4972000</v>
      </c>
      <c r="N119" s="88">
        <v>950000</v>
      </c>
      <c r="O119" s="88">
        <v>950000</v>
      </c>
      <c r="P119" s="89">
        <f t="shared" si="7"/>
        <v>5.2336842105263157</v>
      </c>
      <c r="Q119" s="90">
        <v>6.3899999999999998E-2</v>
      </c>
      <c r="R119" s="54">
        <v>0</v>
      </c>
      <c r="S119" s="55">
        <v>0</v>
      </c>
      <c r="T119" s="55"/>
    </row>
    <row r="120" spans="1:20" ht="13.5" customHeight="1" x14ac:dyDescent="0.25">
      <c r="A120" s="92"/>
      <c r="B120" s="93"/>
      <c r="C120" s="83" t="s">
        <v>43</v>
      </c>
      <c r="D120" s="84">
        <v>46522</v>
      </c>
      <c r="E120" s="86">
        <v>7.0000000000000007E-2</v>
      </c>
      <c r="F120" s="86">
        <v>6.7187499999999997E-2</v>
      </c>
      <c r="G120" s="86">
        <v>6.7648200000000006E-2</v>
      </c>
      <c r="H120" s="86">
        <v>6.9062499999999999E-2</v>
      </c>
      <c r="I120" s="86">
        <v>6.7187499999999997E-2</v>
      </c>
      <c r="J120" s="86">
        <v>6.7388000000000003E-2</v>
      </c>
      <c r="K120" s="86">
        <v>6.7812499999999998E-2</v>
      </c>
      <c r="L120" s="88"/>
      <c r="M120" s="88">
        <v>2540000</v>
      </c>
      <c r="N120" s="88">
        <v>1600000</v>
      </c>
      <c r="O120" s="88">
        <v>1600000</v>
      </c>
      <c r="P120" s="89">
        <f t="shared" si="7"/>
        <v>1.5874999999999999</v>
      </c>
      <c r="Q120" s="90">
        <v>6.7400000000000002E-2</v>
      </c>
      <c r="R120" s="54">
        <v>0</v>
      </c>
      <c r="S120" s="55">
        <v>0</v>
      </c>
      <c r="T120" s="55"/>
    </row>
    <row r="121" spans="1:20" ht="13.5" customHeight="1" x14ac:dyDescent="0.25">
      <c r="A121" s="121"/>
      <c r="B121" s="141"/>
      <c r="C121" s="123" t="s">
        <v>32</v>
      </c>
      <c r="D121" s="124">
        <v>48380</v>
      </c>
      <c r="E121" s="126">
        <v>8.2500000000000004E-2</v>
      </c>
      <c r="F121" s="126">
        <v>7.03125E-2</v>
      </c>
      <c r="G121" s="126">
        <v>7.1506700000000006E-2</v>
      </c>
      <c r="H121" s="126">
        <v>7.2499999999999995E-2</v>
      </c>
      <c r="I121" s="126">
        <v>7.03125E-2</v>
      </c>
      <c r="J121" s="127">
        <v>7.1447399999999994E-2</v>
      </c>
      <c r="K121" s="127">
        <v>7.1874999999999994E-2</v>
      </c>
      <c r="L121" s="128"/>
      <c r="M121" s="128">
        <v>2848000</v>
      </c>
      <c r="N121" s="128">
        <v>2800000</v>
      </c>
      <c r="O121" s="128">
        <v>2650000</v>
      </c>
      <c r="P121" s="89">
        <f t="shared" si="7"/>
        <v>1.0747169811320754</v>
      </c>
      <c r="Q121" s="130">
        <v>7.1499999999999994E-2</v>
      </c>
      <c r="R121" s="54">
        <v>1.9887751488813776E-3</v>
      </c>
      <c r="S121" s="55">
        <v>29293528.561597757</v>
      </c>
      <c r="T121" s="60"/>
    </row>
    <row r="122" spans="1:20" ht="13.5" customHeight="1" x14ac:dyDescent="0.2">
      <c r="A122" s="58">
        <v>41086</v>
      </c>
      <c r="B122" s="59">
        <v>41088</v>
      </c>
      <c r="C122" s="17" t="s">
        <v>48</v>
      </c>
      <c r="D122" s="18">
        <v>43146</v>
      </c>
      <c r="E122" s="96">
        <v>4.4499999999999998E-2</v>
      </c>
      <c r="F122" s="26">
        <v>5.8125000000000003E-2</v>
      </c>
      <c r="G122" s="26"/>
      <c r="H122" s="26">
        <v>7.0000000000000007E-2</v>
      </c>
      <c r="I122" s="26"/>
      <c r="J122" s="26">
        <v>5.90935E-2</v>
      </c>
      <c r="K122" s="27"/>
      <c r="L122" s="21">
        <v>1000000</v>
      </c>
      <c r="M122" s="21">
        <v>916000</v>
      </c>
      <c r="N122" s="21"/>
      <c r="O122" s="21">
        <v>655000</v>
      </c>
      <c r="P122" s="64">
        <f t="shared" si="7"/>
        <v>1.3984732824427482</v>
      </c>
      <c r="Q122" s="54"/>
      <c r="R122" s="54"/>
      <c r="S122" s="55">
        <f>O122*J122/$R$10</f>
        <v>39663040.377049267</v>
      </c>
      <c r="T122" s="55"/>
    </row>
    <row r="123" spans="1:20" ht="13.5" customHeight="1" x14ac:dyDescent="0.25">
      <c r="A123" s="16"/>
      <c r="B123" s="1"/>
      <c r="C123" s="17" t="s">
        <v>49</v>
      </c>
      <c r="D123" s="18">
        <v>44576</v>
      </c>
      <c r="E123" s="96">
        <v>5.45E-2</v>
      </c>
      <c r="F123" s="26">
        <v>6.5312499999999996E-2</v>
      </c>
      <c r="G123" s="26"/>
      <c r="H123" s="26">
        <v>7.0000000000000007E-2</v>
      </c>
      <c r="I123" s="26"/>
      <c r="J123" s="27"/>
      <c r="K123" s="27"/>
      <c r="L123" s="21"/>
      <c r="M123" s="21">
        <v>266000</v>
      </c>
      <c r="N123" s="21"/>
      <c r="O123" s="21"/>
      <c r="P123" s="64"/>
      <c r="Q123" s="54"/>
      <c r="R123" s="54"/>
      <c r="S123" s="55"/>
      <c r="T123" s="55"/>
    </row>
    <row r="124" spans="1:20" ht="13.5" customHeight="1" x14ac:dyDescent="0.25">
      <c r="A124" s="16"/>
      <c r="B124" s="1"/>
      <c r="C124" s="17" t="s">
        <v>50</v>
      </c>
      <c r="D124" s="18">
        <v>46402</v>
      </c>
      <c r="E124" s="26">
        <v>0.06</v>
      </c>
      <c r="F124" s="26">
        <v>6.9375000000000006E-2</v>
      </c>
      <c r="G124" s="26"/>
      <c r="H124" s="26">
        <v>7.4999999999999997E-2</v>
      </c>
      <c r="I124" s="26"/>
      <c r="J124" s="27"/>
      <c r="K124" s="27"/>
      <c r="L124" s="21"/>
      <c r="M124" s="21">
        <v>261000</v>
      </c>
      <c r="N124" s="21"/>
      <c r="O124" s="21"/>
      <c r="P124" s="64"/>
      <c r="Q124" s="54"/>
      <c r="R124" s="54" t="e">
        <f>O124*J124/$O$43</f>
        <v>#DIV/0!</v>
      </c>
      <c r="S124" s="55">
        <f>O124*J124/$R$10</f>
        <v>0</v>
      </c>
      <c r="T124" s="55"/>
    </row>
    <row r="125" spans="1:20" ht="13.5" customHeight="1" x14ac:dyDescent="0.25">
      <c r="A125" s="16"/>
      <c r="B125" s="1"/>
      <c r="C125" s="17" t="s">
        <v>53</v>
      </c>
      <c r="D125" s="18">
        <v>50086</v>
      </c>
      <c r="E125" s="26">
        <v>6.0999999999999999E-2</v>
      </c>
      <c r="F125" s="26">
        <v>7.2812500000000002E-2</v>
      </c>
      <c r="G125" s="26"/>
      <c r="H125" s="26">
        <v>7.8750000000000001E-2</v>
      </c>
      <c r="I125" s="26"/>
      <c r="J125" s="27"/>
      <c r="K125" s="27"/>
      <c r="L125" s="21"/>
      <c r="M125" s="21">
        <v>150000</v>
      </c>
      <c r="N125" s="21"/>
      <c r="O125" s="21"/>
      <c r="P125" s="64"/>
      <c r="Q125" s="100"/>
      <c r="R125" s="54" t="e">
        <f>O125*J125/$O$43</f>
        <v>#DIV/0!</v>
      </c>
      <c r="S125" s="55">
        <f>O125*J125/$R$10</f>
        <v>0</v>
      </c>
      <c r="T125" s="55"/>
    </row>
    <row r="126" spans="1:20" ht="13.5" customHeight="1" x14ac:dyDescent="0.2">
      <c r="A126" s="58">
        <v>41088</v>
      </c>
      <c r="B126" s="59">
        <v>41088</v>
      </c>
      <c r="C126" s="17" t="s">
        <v>103</v>
      </c>
      <c r="D126" s="18">
        <v>42183</v>
      </c>
      <c r="E126" s="26">
        <v>5.21E-2</v>
      </c>
      <c r="F126" s="26"/>
      <c r="G126" s="26"/>
      <c r="H126" s="26"/>
      <c r="I126" s="26"/>
      <c r="J126" s="26"/>
      <c r="K126" s="27"/>
      <c r="L126" s="21">
        <v>2000000</v>
      </c>
      <c r="M126" s="21">
        <v>1000000</v>
      </c>
      <c r="N126" s="21">
        <v>1000000</v>
      </c>
      <c r="O126" s="21">
        <v>1000000</v>
      </c>
      <c r="P126" s="64">
        <f t="shared" ref="P126:P131" si="8">M126/O126</f>
        <v>1</v>
      </c>
      <c r="Q126" s="100"/>
      <c r="R126" s="54"/>
      <c r="S126" s="55"/>
      <c r="T126" s="55"/>
    </row>
    <row r="127" spans="1:20" ht="13.5" customHeight="1" x14ac:dyDescent="0.2">
      <c r="A127" s="58"/>
      <c r="B127" s="80"/>
      <c r="C127" s="17" t="s">
        <v>104</v>
      </c>
      <c r="D127" s="18">
        <v>44010</v>
      </c>
      <c r="E127" s="26">
        <v>6.2E-2</v>
      </c>
      <c r="F127" s="26"/>
      <c r="G127" s="26"/>
      <c r="H127" s="26"/>
      <c r="I127" s="26"/>
      <c r="J127" s="26"/>
      <c r="K127" s="152"/>
      <c r="L127" s="21"/>
      <c r="M127" s="21">
        <v>1000000</v>
      </c>
      <c r="N127" s="21">
        <v>1000000</v>
      </c>
      <c r="O127" s="21">
        <v>1000000</v>
      </c>
      <c r="P127" s="64">
        <f t="shared" si="8"/>
        <v>1</v>
      </c>
      <c r="Q127" s="100"/>
      <c r="R127" s="54"/>
      <c r="S127" s="55"/>
      <c r="T127" s="55"/>
    </row>
    <row r="128" spans="1:20" ht="13.5" customHeight="1" x14ac:dyDescent="0.2">
      <c r="A128" s="112">
        <v>41093</v>
      </c>
      <c r="B128" s="112">
        <v>41095</v>
      </c>
      <c r="C128" s="113" t="s">
        <v>88</v>
      </c>
      <c r="D128" s="114">
        <v>41459</v>
      </c>
      <c r="E128" s="115">
        <v>0</v>
      </c>
      <c r="F128" s="116">
        <v>4.4062499999999998E-2</v>
      </c>
      <c r="G128" s="116">
        <v>4.5443299999999999E-2</v>
      </c>
      <c r="H128" s="116">
        <v>4.6249999999999999E-2</v>
      </c>
      <c r="I128" s="116">
        <v>4.4062499999999998E-2</v>
      </c>
      <c r="J128" s="86">
        <v>4.4854900000000003E-2</v>
      </c>
      <c r="K128" s="86">
        <v>4.4999999999999998E-2</v>
      </c>
      <c r="L128" s="118">
        <v>6000000</v>
      </c>
      <c r="M128" s="118">
        <v>792700</v>
      </c>
      <c r="N128" s="118">
        <v>600000</v>
      </c>
      <c r="O128" s="118">
        <v>550000</v>
      </c>
      <c r="P128" s="89">
        <f t="shared" si="8"/>
        <v>1.4412727272727273</v>
      </c>
      <c r="Q128" s="120">
        <v>4.4999999999999998E-2</v>
      </c>
      <c r="R128" s="54"/>
      <c r="S128" s="55">
        <f>O128*J128/$R$10</f>
        <v>25280029.194119763</v>
      </c>
      <c r="T128" s="55"/>
    </row>
    <row r="129" spans="1:20" ht="13.5" customHeight="1" x14ac:dyDescent="0.25">
      <c r="A129" s="92"/>
      <c r="B129" s="91"/>
      <c r="C129" s="83" t="s">
        <v>35</v>
      </c>
      <c r="D129" s="84">
        <v>44696</v>
      </c>
      <c r="E129" s="86">
        <v>7.0000000000000007E-2</v>
      </c>
      <c r="F129" s="86">
        <v>6.0312499999999998E-2</v>
      </c>
      <c r="G129" s="86">
        <v>6.1586299999999997E-2</v>
      </c>
      <c r="H129" s="86">
        <v>6.3750000000000001E-2</v>
      </c>
      <c r="I129" s="86">
        <v>6.0312499999999998E-2</v>
      </c>
      <c r="J129" s="86">
        <v>6.0999699999999997E-2</v>
      </c>
      <c r="K129" s="86">
        <v>6.1249999999999999E-2</v>
      </c>
      <c r="L129" s="88"/>
      <c r="M129" s="88">
        <v>6483000</v>
      </c>
      <c r="N129" s="88">
        <v>3300000</v>
      </c>
      <c r="O129" s="88">
        <v>3300000</v>
      </c>
      <c r="P129" s="89">
        <f t="shared" si="8"/>
        <v>1.9645454545454546</v>
      </c>
      <c r="Q129" s="90">
        <v>6.0999999999999999E-2</v>
      </c>
      <c r="R129" s="54"/>
      <c r="S129" s="55"/>
      <c r="T129" s="55"/>
    </row>
    <row r="130" spans="1:20" ht="13.5" customHeight="1" x14ac:dyDescent="0.25">
      <c r="A130" s="92"/>
      <c r="B130" s="93"/>
      <c r="C130" s="83" t="s">
        <v>43</v>
      </c>
      <c r="D130" s="84">
        <v>46522</v>
      </c>
      <c r="E130" s="86">
        <v>7.0000000000000007E-2</v>
      </c>
      <c r="F130" s="86">
        <v>6.4062499999999994E-2</v>
      </c>
      <c r="G130" s="86">
        <v>6.55921E-2</v>
      </c>
      <c r="H130" s="86">
        <v>6.7187499999999997E-2</v>
      </c>
      <c r="I130" s="86">
        <v>6.4062499999999994E-2</v>
      </c>
      <c r="J130" s="86">
        <v>6.5096000000000001E-2</v>
      </c>
      <c r="K130" s="86">
        <v>6.5312499999999996E-2</v>
      </c>
      <c r="L130" s="88"/>
      <c r="M130" s="88">
        <v>3720000</v>
      </c>
      <c r="N130" s="88">
        <v>1900000</v>
      </c>
      <c r="O130" s="88">
        <v>1900000</v>
      </c>
      <c r="P130" s="89">
        <f t="shared" si="8"/>
        <v>1.9578947368421054</v>
      </c>
      <c r="Q130" s="90">
        <v>6.5100000000000005E-2</v>
      </c>
      <c r="R130" s="54">
        <v>0</v>
      </c>
      <c r="S130" s="55">
        <v>0</v>
      </c>
      <c r="T130" s="55"/>
    </row>
    <row r="131" spans="1:20" ht="13.5" customHeight="1" x14ac:dyDescent="0.25">
      <c r="A131" s="92"/>
      <c r="B131" s="93"/>
      <c r="C131" s="123" t="s">
        <v>32</v>
      </c>
      <c r="D131" s="124">
        <v>48380</v>
      </c>
      <c r="E131" s="126">
        <v>8.2500000000000004E-2</v>
      </c>
      <c r="F131" s="86">
        <v>6.7812499999999998E-2</v>
      </c>
      <c r="G131" s="86">
        <v>6.8797399999999995E-2</v>
      </c>
      <c r="H131" s="86">
        <v>7.0000000000000007E-2</v>
      </c>
      <c r="I131" s="86">
        <v>6.7812499999999998E-2</v>
      </c>
      <c r="J131" s="86">
        <v>6.8197900000000006E-2</v>
      </c>
      <c r="K131" s="86">
        <v>6.8437499999999998E-2</v>
      </c>
      <c r="L131" s="88"/>
      <c r="M131" s="88">
        <v>5491500</v>
      </c>
      <c r="N131" s="88">
        <v>1200000</v>
      </c>
      <c r="O131" s="88">
        <v>1200000</v>
      </c>
      <c r="P131" s="89">
        <f t="shared" si="8"/>
        <v>4.5762499999999999</v>
      </c>
      <c r="Q131" s="90">
        <v>6.8199999999999997E-2</v>
      </c>
      <c r="R131" s="54">
        <v>0</v>
      </c>
      <c r="S131" s="55">
        <v>0</v>
      </c>
      <c r="T131" s="55"/>
    </row>
    <row r="132" spans="1:20" ht="13.5" customHeight="1" x14ac:dyDescent="0.2">
      <c r="A132" s="58">
        <v>41100</v>
      </c>
      <c r="B132" s="59">
        <v>41102</v>
      </c>
      <c r="C132" s="17" t="s">
        <v>91</v>
      </c>
      <c r="D132" s="18"/>
      <c r="E132" s="96"/>
      <c r="F132" s="26">
        <v>0.04</v>
      </c>
      <c r="G132" s="26"/>
      <c r="H132" s="26">
        <v>0.05</v>
      </c>
      <c r="I132" s="26"/>
      <c r="J132" s="26"/>
      <c r="K132" s="27"/>
      <c r="L132" s="21">
        <v>1000000</v>
      </c>
      <c r="M132" s="21">
        <v>181000</v>
      </c>
      <c r="N132" s="21"/>
      <c r="O132" s="21"/>
      <c r="P132" s="64"/>
      <c r="Q132" s="54"/>
      <c r="R132" s="54"/>
      <c r="S132" s="55">
        <f>O132*J132/$R$10</f>
        <v>0</v>
      </c>
      <c r="T132" s="55"/>
    </row>
    <row r="133" spans="1:20" ht="13.5" customHeight="1" x14ac:dyDescent="0.2">
      <c r="A133" s="58"/>
      <c r="B133" s="80"/>
      <c r="C133" s="17" t="s">
        <v>48</v>
      </c>
      <c r="D133" s="18">
        <v>43146</v>
      </c>
      <c r="E133" s="96">
        <v>4.4499999999999998E-2</v>
      </c>
      <c r="F133" s="26">
        <v>5.8749999999999997E-2</v>
      </c>
      <c r="G133" s="26"/>
      <c r="H133" s="26">
        <v>6.7500000000000004E-2</v>
      </c>
      <c r="I133" s="26"/>
      <c r="J133" s="26"/>
      <c r="K133" s="27"/>
      <c r="L133" s="21"/>
      <c r="M133" s="21">
        <v>646000</v>
      </c>
      <c r="N133" s="21"/>
      <c r="O133" s="21"/>
      <c r="P133" s="64"/>
      <c r="Q133" s="54"/>
      <c r="R133" s="54"/>
      <c r="S133" s="55"/>
      <c r="T133" s="55"/>
    </row>
    <row r="134" spans="1:20" ht="13.5" customHeight="1" x14ac:dyDescent="0.25">
      <c r="A134" s="16"/>
      <c r="B134" s="1"/>
      <c r="C134" s="17" t="s">
        <v>49</v>
      </c>
      <c r="D134" s="18">
        <v>44576</v>
      </c>
      <c r="E134" s="96">
        <v>5.45E-2</v>
      </c>
      <c r="F134" s="26">
        <v>6.5000000000000002E-2</v>
      </c>
      <c r="G134" s="26"/>
      <c r="H134" s="26">
        <v>7.0000000000000007E-2</v>
      </c>
      <c r="I134" s="26"/>
      <c r="J134" s="27"/>
      <c r="K134" s="27"/>
      <c r="L134" s="21"/>
      <c r="M134" s="21">
        <v>131000</v>
      </c>
      <c r="N134" s="21"/>
      <c r="O134" s="21"/>
      <c r="P134" s="64"/>
      <c r="Q134" s="54"/>
      <c r="R134" s="54"/>
      <c r="S134" s="55"/>
      <c r="T134" s="55"/>
    </row>
    <row r="135" spans="1:20" ht="13.5" customHeight="1" x14ac:dyDescent="0.25">
      <c r="A135" s="16"/>
      <c r="B135" s="1"/>
      <c r="C135" s="17" t="s">
        <v>50</v>
      </c>
      <c r="D135" s="18">
        <v>46402</v>
      </c>
      <c r="E135" s="26">
        <v>0.06</v>
      </c>
      <c r="F135" s="26">
        <v>6.8750000000000006E-2</v>
      </c>
      <c r="G135" s="26"/>
      <c r="H135" s="26">
        <v>7.4999999999999997E-2</v>
      </c>
      <c r="I135" s="26"/>
      <c r="J135" s="27"/>
      <c r="K135" s="27"/>
      <c r="L135" s="21"/>
      <c r="M135" s="21">
        <v>96000</v>
      </c>
      <c r="N135" s="21"/>
      <c r="O135" s="21"/>
      <c r="P135" s="64"/>
      <c r="Q135" s="54"/>
      <c r="R135" s="54" t="e">
        <f>O135*J135/$O$43</f>
        <v>#DIV/0!</v>
      </c>
      <c r="S135" s="55">
        <f>O135*J135/$R$10</f>
        <v>0</v>
      </c>
      <c r="T135" s="55"/>
    </row>
    <row r="136" spans="1:20" ht="13.5" customHeight="1" x14ac:dyDescent="0.25">
      <c r="A136" s="16"/>
      <c r="B136" s="1"/>
      <c r="C136" s="17" t="s">
        <v>53</v>
      </c>
      <c r="D136" s="18">
        <v>50086</v>
      </c>
      <c r="E136" s="26">
        <v>6.0999999999999999E-2</v>
      </c>
      <c r="F136" s="26">
        <v>6.9687499999999999E-2</v>
      </c>
      <c r="G136" s="26"/>
      <c r="H136" s="26">
        <v>0.08</v>
      </c>
      <c r="I136" s="26"/>
      <c r="J136" s="27"/>
      <c r="K136" s="27"/>
      <c r="L136" s="21"/>
      <c r="M136" s="21">
        <v>163000</v>
      </c>
      <c r="N136" s="21"/>
      <c r="O136" s="21"/>
      <c r="P136" s="64"/>
      <c r="Q136" s="100"/>
      <c r="R136" s="54" t="e">
        <f>O136*J136/$O$43</f>
        <v>#DIV/0!</v>
      </c>
      <c r="S136" s="55">
        <f>O136*J136/$R$10</f>
        <v>0</v>
      </c>
      <c r="T136" s="55"/>
    </row>
    <row r="137" spans="1:20" ht="13.5" customHeight="1" x14ac:dyDescent="0.2">
      <c r="A137" s="112">
        <v>41107</v>
      </c>
      <c r="B137" s="112">
        <v>41109</v>
      </c>
      <c r="C137" s="113" t="s">
        <v>89</v>
      </c>
      <c r="D137" s="114">
        <v>41200</v>
      </c>
      <c r="E137" s="115">
        <v>0</v>
      </c>
      <c r="F137" s="116">
        <v>3.90625E-2</v>
      </c>
      <c r="G137" s="116">
        <v>4.1513099999999997E-2</v>
      </c>
      <c r="H137" s="116">
        <v>4.3749999999999997E-2</v>
      </c>
      <c r="I137" s="116">
        <v>3.90625E-2</v>
      </c>
      <c r="J137" s="117">
        <v>3.9890599999999998E-2</v>
      </c>
      <c r="K137" s="117">
        <v>0.04</v>
      </c>
      <c r="L137" s="118">
        <v>6000000</v>
      </c>
      <c r="M137" s="118">
        <v>4330000</v>
      </c>
      <c r="N137" s="118">
        <v>500000</v>
      </c>
      <c r="O137" s="118">
        <v>500000</v>
      </c>
      <c r="P137" s="89">
        <f t="shared" ref="P137:P148" si="9">M137/O137</f>
        <v>8.66</v>
      </c>
      <c r="Q137" s="120">
        <v>3.9899999999999998E-2</v>
      </c>
      <c r="R137" s="54"/>
      <c r="S137" s="55">
        <f>O137*J137/$R$10</f>
        <v>20438337.284544237</v>
      </c>
      <c r="T137" s="55"/>
    </row>
    <row r="138" spans="1:20" ht="13.5" customHeight="1" x14ac:dyDescent="0.25">
      <c r="A138" s="92"/>
      <c r="B138" s="91"/>
      <c r="C138" s="113" t="s">
        <v>90</v>
      </c>
      <c r="D138" s="114">
        <v>41459</v>
      </c>
      <c r="E138" s="85">
        <v>0</v>
      </c>
      <c r="F138" s="86">
        <v>4.2812500000000003E-2</v>
      </c>
      <c r="G138" s="86">
        <v>4.5234900000000001E-2</v>
      </c>
      <c r="H138" s="86">
        <v>4.7500000000000001E-2</v>
      </c>
      <c r="I138" s="86">
        <v>4.2812500000000003E-2</v>
      </c>
      <c r="J138" s="87">
        <v>4.4053799999999997E-2</v>
      </c>
      <c r="K138" s="87">
        <v>4.4062499999999998E-2</v>
      </c>
      <c r="L138" s="88"/>
      <c r="M138" s="88">
        <v>2654500</v>
      </c>
      <c r="N138" s="88">
        <v>1850000</v>
      </c>
      <c r="O138" s="88">
        <v>1000000</v>
      </c>
      <c r="P138" s="89">
        <f t="shared" si="9"/>
        <v>2.6545000000000001</v>
      </c>
      <c r="Q138" s="90">
        <v>4.4999999999999998E-2</v>
      </c>
      <c r="R138" s="54"/>
      <c r="S138" s="55"/>
      <c r="T138" s="55"/>
    </row>
    <row r="139" spans="1:20" ht="13.5" customHeight="1" x14ac:dyDescent="0.25">
      <c r="A139" s="92"/>
      <c r="B139" s="93"/>
      <c r="C139" s="83" t="s">
        <v>34</v>
      </c>
      <c r="D139" s="84">
        <v>42840</v>
      </c>
      <c r="E139" s="86">
        <v>6.25E-2</v>
      </c>
      <c r="F139" s="86">
        <v>5.3749999999999999E-2</v>
      </c>
      <c r="G139" s="86">
        <v>5.5510999999999998E-2</v>
      </c>
      <c r="H139" s="86">
        <v>0.06</v>
      </c>
      <c r="I139" s="86">
        <v>5.3749999999999999E-2</v>
      </c>
      <c r="J139" s="87">
        <v>5.4689300000000003E-2</v>
      </c>
      <c r="K139" s="87">
        <v>5.5E-2</v>
      </c>
      <c r="L139" s="88"/>
      <c r="M139" s="88">
        <v>2800000</v>
      </c>
      <c r="N139" s="88">
        <v>1250000</v>
      </c>
      <c r="O139" s="88">
        <v>1250000</v>
      </c>
      <c r="P139" s="89">
        <f t="shared" si="9"/>
        <v>2.2400000000000002</v>
      </c>
      <c r="Q139" s="90">
        <v>5.4699999999999999E-2</v>
      </c>
      <c r="R139" s="54">
        <v>0</v>
      </c>
      <c r="S139" s="55">
        <v>0</v>
      </c>
      <c r="T139" s="55"/>
    </row>
    <row r="140" spans="1:20" ht="13.5" customHeight="1" x14ac:dyDescent="0.25">
      <c r="A140" s="92"/>
      <c r="B140" s="93"/>
      <c r="C140" s="83" t="s">
        <v>32</v>
      </c>
      <c r="D140" s="143">
        <v>48380</v>
      </c>
      <c r="E140" s="144">
        <v>8.2500000000000004E-2</v>
      </c>
      <c r="F140" s="86">
        <v>6.5625000000000003E-2</v>
      </c>
      <c r="G140" s="86">
        <v>6.7163299999999995E-2</v>
      </c>
      <c r="H140" s="86">
        <v>6.8750000000000006E-2</v>
      </c>
      <c r="I140" s="86">
        <v>6.5625000000000003E-2</v>
      </c>
      <c r="J140" s="86">
        <v>6.6704799999999995E-2</v>
      </c>
      <c r="K140" s="86">
        <v>6.6875000000000004E-2</v>
      </c>
      <c r="L140" s="88"/>
      <c r="M140" s="88">
        <v>12502200</v>
      </c>
      <c r="N140" s="88">
        <v>6450000</v>
      </c>
      <c r="O140" s="88">
        <v>4500000</v>
      </c>
      <c r="P140" s="89">
        <f t="shared" si="9"/>
        <v>2.7782666666666667</v>
      </c>
      <c r="Q140" s="90">
        <v>6.6799999999999998E-2</v>
      </c>
      <c r="R140" s="54">
        <v>0</v>
      </c>
      <c r="S140" s="55">
        <v>0</v>
      </c>
      <c r="T140" s="55"/>
    </row>
    <row r="141" spans="1:20" ht="13.5" customHeight="1" x14ac:dyDescent="0.25">
      <c r="A141" s="121"/>
      <c r="B141" s="141"/>
      <c r="C141" s="123" t="s">
        <v>47</v>
      </c>
      <c r="D141" s="124">
        <v>51971</v>
      </c>
      <c r="E141" s="126">
        <v>6.3750000000000001E-2</v>
      </c>
      <c r="F141" s="126">
        <v>6.5000000000000002E-2</v>
      </c>
      <c r="G141" s="126">
        <v>6.9052799999999998E-2</v>
      </c>
      <c r="H141" s="126">
        <v>7.2499999999999995E-2</v>
      </c>
      <c r="I141" s="126">
        <v>6.5000000000000002E-2</v>
      </c>
      <c r="J141" s="127">
        <v>6.7993499999999998E-2</v>
      </c>
      <c r="K141" s="127">
        <v>6.8750000000000006E-2</v>
      </c>
      <c r="L141" s="128"/>
      <c r="M141" s="128">
        <v>5403000</v>
      </c>
      <c r="N141" s="128">
        <v>1750000</v>
      </c>
      <c r="O141" s="128">
        <v>1750000</v>
      </c>
      <c r="P141" s="129">
        <f t="shared" si="9"/>
        <v>3.0874285714285716</v>
      </c>
      <c r="Q141" s="130">
        <v>6.8000000000000005E-2</v>
      </c>
      <c r="R141" s="54">
        <v>1.9887751488813776E-3</v>
      </c>
      <c r="S141" s="55">
        <v>29293528.561597757</v>
      </c>
      <c r="T141" s="60"/>
    </row>
    <row r="142" spans="1:20" ht="13.5" customHeight="1" x14ac:dyDescent="0.2">
      <c r="A142" s="58">
        <v>41114</v>
      </c>
      <c r="B142" s="59">
        <v>41116</v>
      </c>
      <c r="C142" s="17" t="s">
        <v>97</v>
      </c>
      <c r="D142" s="18"/>
      <c r="E142" s="96"/>
      <c r="F142" s="26">
        <v>4.1562500000000002E-2</v>
      </c>
      <c r="G142" s="26"/>
      <c r="H142" s="26">
        <v>0.05</v>
      </c>
      <c r="I142" s="26"/>
      <c r="J142" s="26"/>
      <c r="K142" s="27"/>
      <c r="L142" s="21">
        <v>1000000</v>
      </c>
      <c r="M142" s="21">
        <v>341000</v>
      </c>
      <c r="N142" s="21"/>
      <c r="O142" s="21"/>
      <c r="P142" s="64"/>
      <c r="Q142" s="54"/>
      <c r="R142" s="54"/>
      <c r="S142" s="55">
        <f>O142*J142/$R$10</f>
        <v>0</v>
      </c>
      <c r="T142" s="55"/>
    </row>
    <row r="143" spans="1:20" ht="13.5" customHeight="1" x14ac:dyDescent="0.2">
      <c r="A143" s="58"/>
      <c r="B143" s="80"/>
      <c r="C143" s="17" t="s">
        <v>48</v>
      </c>
      <c r="D143" s="18">
        <v>43146</v>
      </c>
      <c r="E143" s="96">
        <v>4.4499999999999998E-2</v>
      </c>
      <c r="F143" s="26">
        <v>5.6250000000000001E-2</v>
      </c>
      <c r="G143" s="26"/>
      <c r="H143" s="26">
        <v>6.2812499999999993E-2</v>
      </c>
      <c r="I143" s="26"/>
      <c r="J143" s="26"/>
      <c r="K143" s="27"/>
      <c r="L143" s="21"/>
      <c r="M143" s="21">
        <v>731000</v>
      </c>
      <c r="N143" s="21"/>
      <c r="O143" s="21"/>
      <c r="P143" s="64"/>
      <c r="Q143" s="54"/>
      <c r="R143" s="54"/>
      <c r="S143" s="55"/>
      <c r="T143" s="55"/>
    </row>
    <row r="144" spans="1:20" ht="13.5" customHeight="1" x14ac:dyDescent="0.25">
      <c r="A144" s="16"/>
      <c r="B144" s="1"/>
      <c r="C144" s="17" t="s">
        <v>49</v>
      </c>
      <c r="D144" s="18">
        <v>44576</v>
      </c>
      <c r="E144" s="96">
        <v>5.45E-2</v>
      </c>
      <c r="F144" s="26">
        <v>6.25E-2</v>
      </c>
      <c r="G144" s="26"/>
      <c r="H144" s="26">
        <v>6.6250000000000003E-2</v>
      </c>
      <c r="I144" s="26"/>
      <c r="J144" s="27"/>
      <c r="K144" s="27"/>
      <c r="L144" s="21"/>
      <c r="M144" s="21">
        <v>291000</v>
      </c>
      <c r="N144" s="21"/>
      <c r="O144" s="21"/>
      <c r="P144" s="64"/>
      <c r="Q144" s="54"/>
      <c r="R144" s="54"/>
      <c r="S144" s="55"/>
      <c r="T144" s="55"/>
    </row>
    <row r="145" spans="1:20" ht="13.5" customHeight="1" x14ac:dyDescent="0.25">
      <c r="A145" s="16"/>
      <c r="B145" s="1"/>
      <c r="C145" s="17" t="s">
        <v>50</v>
      </c>
      <c r="D145" s="18">
        <v>46402</v>
      </c>
      <c r="E145" s="26">
        <v>0.06</v>
      </c>
      <c r="F145" s="26">
        <v>6.6875000000000004E-2</v>
      </c>
      <c r="G145" s="26"/>
      <c r="H145" s="26">
        <v>7.0000000000000007E-2</v>
      </c>
      <c r="I145" s="26"/>
      <c r="J145" s="27"/>
      <c r="K145" s="27"/>
      <c r="L145" s="21"/>
      <c r="M145" s="21">
        <v>106000</v>
      </c>
      <c r="N145" s="21"/>
      <c r="O145" s="21"/>
      <c r="P145" s="64"/>
      <c r="Q145" s="54"/>
      <c r="R145" s="54" t="e">
        <f>O145*J145/$O$43</f>
        <v>#DIV/0!</v>
      </c>
      <c r="S145" s="55">
        <f>O145*J145/$R$10</f>
        <v>0</v>
      </c>
      <c r="T145" s="55"/>
    </row>
    <row r="146" spans="1:20" ht="13.5" customHeight="1" x14ac:dyDescent="0.25">
      <c r="A146" s="16"/>
      <c r="B146" s="1"/>
      <c r="C146" s="17" t="s">
        <v>53</v>
      </c>
      <c r="D146" s="18">
        <v>50086</v>
      </c>
      <c r="E146" s="26">
        <v>6.0999999999999999E-2</v>
      </c>
      <c r="F146" s="26">
        <v>6.6562499999999997E-2</v>
      </c>
      <c r="G146" s="26"/>
      <c r="H146" s="26">
        <v>7.3749999999999996E-2</v>
      </c>
      <c r="I146" s="26"/>
      <c r="J146" s="27"/>
      <c r="K146" s="27"/>
      <c r="L146" s="21"/>
      <c r="M146" s="21">
        <v>530000</v>
      </c>
      <c r="N146" s="21"/>
      <c r="O146" s="21">
        <v>460000</v>
      </c>
      <c r="P146" s="64">
        <f>M146/O146</f>
        <v>1.1521739130434783</v>
      </c>
      <c r="Q146" s="100"/>
      <c r="R146" s="54" t="e">
        <f>O146*J146/$O$43</f>
        <v>#DIV/0!</v>
      </c>
      <c r="S146" s="55">
        <f>O146*J146/$R$10</f>
        <v>0</v>
      </c>
      <c r="T146" s="55"/>
    </row>
    <row r="147" spans="1:20" ht="13.5" customHeight="1" x14ac:dyDescent="0.2">
      <c r="A147" s="112">
        <v>41128</v>
      </c>
      <c r="B147" s="112">
        <v>41130</v>
      </c>
      <c r="C147" s="113" t="s">
        <v>96</v>
      </c>
      <c r="D147" s="114"/>
      <c r="E147" s="86"/>
      <c r="F147" s="116">
        <v>4.6249999999999999E-2</v>
      </c>
      <c r="G147" s="116"/>
      <c r="H147" s="116">
        <v>0.05</v>
      </c>
      <c r="I147" s="116"/>
      <c r="J147" s="86"/>
      <c r="K147" s="86"/>
      <c r="L147" s="118">
        <v>1000000</v>
      </c>
      <c r="M147" s="118">
        <v>336000</v>
      </c>
      <c r="N147" s="118"/>
      <c r="O147" s="118"/>
      <c r="P147" s="89"/>
      <c r="Q147" s="120"/>
      <c r="R147" s="54"/>
      <c r="S147" s="55">
        <f>O147*J147/$R$10</f>
        <v>0</v>
      </c>
      <c r="T147" s="55"/>
    </row>
    <row r="148" spans="1:20" ht="13.5" customHeight="1" x14ac:dyDescent="0.2">
      <c r="A148" s="81"/>
      <c r="B148" s="81"/>
      <c r="C148" s="83" t="s">
        <v>48</v>
      </c>
      <c r="D148" s="84">
        <v>43146</v>
      </c>
      <c r="E148" s="86">
        <v>4.4499999999999998E-2</v>
      </c>
      <c r="F148" s="86">
        <v>5.6562500000000002E-2</v>
      </c>
      <c r="G148" s="86"/>
      <c r="H148" s="86">
        <v>6.25E-2</v>
      </c>
      <c r="I148" s="86">
        <v>5.6562500000000002E-2</v>
      </c>
      <c r="J148" s="86">
        <v>5.6596E-2</v>
      </c>
      <c r="K148" s="86"/>
      <c r="L148" s="88"/>
      <c r="M148" s="88">
        <v>726000</v>
      </c>
      <c r="N148" s="88"/>
      <c r="O148" s="88">
        <v>40000</v>
      </c>
      <c r="P148" s="89">
        <f t="shared" si="9"/>
        <v>18.149999999999999</v>
      </c>
      <c r="Q148" s="90"/>
      <c r="R148" s="54"/>
      <c r="S148" s="55"/>
      <c r="T148" s="55"/>
    </row>
    <row r="149" spans="1:20" ht="13.5" customHeight="1" x14ac:dyDescent="0.2">
      <c r="A149" s="81"/>
      <c r="B149" s="81"/>
      <c r="C149" s="83" t="s">
        <v>49</v>
      </c>
      <c r="D149" s="84">
        <v>44576</v>
      </c>
      <c r="E149" s="86">
        <v>5.45E-2</v>
      </c>
      <c r="F149" s="86">
        <v>6.0937499999999999E-2</v>
      </c>
      <c r="G149" s="86"/>
      <c r="H149" s="86">
        <v>6.5000000000000002E-2</v>
      </c>
      <c r="I149" s="86"/>
      <c r="J149" s="86"/>
      <c r="K149" s="86"/>
      <c r="L149" s="88"/>
      <c r="M149" s="88">
        <v>176000</v>
      </c>
      <c r="N149" s="88"/>
      <c r="O149" s="88"/>
      <c r="P149" s="89"/>
      <c r="Q149" s="90"/>
      <c r="R149" s="54"/>
      <c r="S149" s="55"/>
      <c r="T149" s="55"/>
    </row>
    <row r="150" spans="1:20" ht="13.5" customHeight="1" x14ac:dyDescent="0.2">
      <c r="A150" s="81"/>
      <c r="B150" s="81"/>
      <c r="C150" s="83" t="s">
        <v>50</v>
      </c>
      <c r="D150" s="84">
        <v>46402</v>
      </c>
      <c r="E150" s="86">
        <v>0.06</v>
      </c>
      <c r="F150" s="86">
        <v>6.5937499999999996E-2</v>
      </c>
      <c r="G150" s="86"/>
      <c r="H150" s="86">
        <v>7.0000000000000007E-2</v>
      </c>
      <c r="I150" s="86"/>
      <c r="J150" s="86"/>
      <c r="K150" s="86"/>
      <c r="L150" s="88"/>
      <c r="M150" s="88">
        <v>106000</v>
      </c>
      <c r="N150" s="88"/>
      <c r="O150" s="88"/>
      <c r="P150" s="89"/>
      <c r="Q150" s="90"/>
      <c r="R150" s="54" t="e">
        <f>O150*J150/$O$43</f>
        <v>#DIV/0!</v>
      </c>
      <c r="S150" s="55">
        <f>O150*J150/$R$10</f>
        <v>0</v>
      </c>
      <c r="T150" s="55"/>
    </row>
    <row r="151" spans="1:20" ht="13.5" customHeight="1" x14ac:dyDescent="0.2">
      <c r="A151" s="81"/>
      <c r="B151" s="81"/>
      <c r="C151" s="83" t="s">
        <v>53</v>
      </c>
      <c r="D151" s="84">
        <v>50086</v>
      </c>
      <c r="E151" s="86">
        <v>6.0999999999999999E-2</v>
      </c>
      <c r="F151" s="86">
        <v>6.6562499999999997E-2</v>
      </c>
      <c r="G151" s="86"/>
      <c r="H151" s="86">
        <v>7.3749999999999996E-2</v>
      </c>
      <c r="I151" s="86">
        <v>6.6562499999999997E-2</v>
      </c>
      <c r="J151" s="86">
        <v>6.7161600000000002E-2</v>
      </c>
      <c r="K151" s="86"/>
      <c r="L151" s="88"/>
      <c r="M151" s="88">
        <v>589000</v>
      </c>
      <c r="N151" s="88"/>
      <c r="O151" s="88">
        <v>500000</v>
      </c>
      <c r="P151" s="89">
        <f>M151/O151</f>
        <v>1.1779999999999999</v>
      </c>
      <c r="Q151" s="90"/>
      <c r="R151" s="54" t="e">
        <f>O151*J151/$O$43</f>
        <v>#DIV/0!</v>
      </c>
      <c r="S151" s="55">
        <f>O151*J151/$R$10</f>
        <v>34410899.644769609</v>
      </c>
      <c r="T151" s="55"/>
    </row>
    <row r="152" spans="1:20" ht="13.5" customHeight="1" x14ac:dyDescent="0.2">
      <c r="A152" s="68">
        <v>41130</v>
      </c>
      <c r="B152" s="68">
        <v>41134</v>
      </c>
      <c r="C152" s="69" t="s">
        <v>92</v>
      </c>
      <c r="D152" s="70">
        <v>41225</v>
      </c>
      <c r="E152" s="62"/>
      <c r="F152" s="72">
        <v>3.90625E-2</v>
      </c>
      <c r="G152" s="72">
        <v>4.0763199999999999E-2</v>
      </c>
      <c r="H152" s="72">
        <v>4.2187500000000003E-2</v>
      </c>
      <c r="I152" s="72">
        <v>3.90625E-2</v>
      </c>
      <c r="J152" s="62">
        <v>4.04886E-2</v>
      </c>
      <c r="K152" s="62">
        <v>4.1250000000000002E-2</v>
      </c>
      <c r="L152" s="74">
        <v>6000000</v>
      </c>
      <c r="M152" s="74">
        <v>1169000</v>
      </c>
      <c r="N152" s="74">
        <v>850000</v>
      </c>
      <c r="O152" s="74">
        <v>850000</v>
      </c>
      <c r="P152" s="64">
        <f>M152/O152</f>
        <v>1.3752941176470588</v>
      </c>
      <c r="Q152" s="145">
        <v>4.0500000000000001E-2</v>
      </c>
      <c r="R152" s="100"/>
      <c r="S152" s="55">
        <f>O152*J152/$R$10</f>
        <v>35266038.291334204</v>
      </c>
      <c r="T152" s="55"/>
    </row>
    <row r="153" spans="1:20" ht="13.5" customHeight="1" x14ac:dyDescent="0.2">
      <c r="A153" s="58"/>
      <c r="B153" s="58"/>
      <c r="C153" s="17" t="s">
        <v>93</v>
      </c>
      <c r="D153" s="18">
        <v>41498</v>
      </c>
      <c r="E153" s="62"/>
      <c r="F153" s="62">
        <v>4.3124999999999997E-2</v>
      </c>
      <c r="G153" s="62">
        <v>4.5221900000000002E-2</v>
      </c>
      <c r="H153" s="62">
        <v>4.6875E-2</v>
      </c>
      <c r="I153" s="62">
        <v>4.3124999999999997E-2</v>
      </c>
      <c r="J153" s="62">
        <v>4.4704199999999999E-2</v>
      </c>
      <c r="K153" s="62">
        <v>4.5312499999999999E-2</v>
      </c>
      <c r="L153" s="63"/>
      <c r="M153" s="63">
        <v>531000</v>
      </c>
      <c r="N153" s="63">
        <v>500000</v>
      </c>
      <c r="O153" s="63">
        <v>450000</v>
      </c>
      <c r="P153" s="64">
        <f>M153/O153</f>
        <v>1.18</v>
      </c>
      <c r="Q153" s="100">
        <v>4.4999999999999998E-2</v>
      </c>
      <c r="R153" s="100"/>
      <c r="S153" s="55"/>
      <c r="T153" s="55"/>
    </row>
    <row r="154" spans="1:20" ht="13.5" customHeight="1" x14ac:dyDescent="0.2">
      <c r="A154" s="58"/>
      <c r="B154" s="58"/>
      <c r="C154" s="17" t="s">
        <v>94</v>
      </c>
      <c r="D154" s="18">
        <v>45061</v>
      </c>
      <c r="E154" s="62">
        <v>5.6250000000000001E-2</v>
      </c>
      <c r="F154" s="62">
        <v>5.6250000000000001E-2</v>
      </c>
      <c r="G154" s="62">
        <v>5.8444999999999997E-2</v>
      </c>
      <c r="H154" s="62">
        <v>6.21875E-2</v>
      </c>
      <c r="I154" s="62">
        <v>5.6250000000000001E-2</v>
      </c>
      <c r="J154" s="62">
        <v>5.78474E-2</v>
      </c>
      <c r="K154" s="62">
        <v>5.8125000000000003E-2</v>
      </c>
      <c r="L154" s="63"/>
      <c r="M154" s="63">
        <v>7471300</v>
      </c>
      <c r="N154" s="63">
        <v>4950000</v>
      </c>
      <c r="O154" s="63">
        <v>3100000</v>
      </c>
      <c r="P154" s="64">
        <f>M154/O154</f>
        <v>2.4100967741935482</v>
      </c>
      <c r="Q154" s="100">
        <v>5.8000000000000003E-2</v>
      </c>
      <c r="R154" s="100">
        <v>0</v>
      </c>
      <c r="S154" s="55">
        <v>0</v>
      </c>
      <c r="T154" s="55"/>
    </row>
    <row r="155" spans="1:20" ht="13.5" customHeight="1" x14ac:dyDescent="0.2">
      <c r="A155" s="58"/>
      <c r="B155" s="58"/>
      <c r="C155" s="17" t="s">
        <v>95</v>
      </c>
      <c r="D155" s="18">
        <v>46888</v>
      </c>
      <c r="E155" s="62">
        <v>6.1249999999999999E-2</v>
      </c>
      <c r="F155" s="62">
        <v>6.1249999999999999E-2</v>
      </c>
      <c r="G155" s="62">
        <v>6.3324000000000005E-2</v>
      </c>
      <c r="H155" s="62">
        <v>6.5937499999999996E-2</v>
      </c>
      <c r="I155" s="62">
        <v>6.1249999999999999E-2</v>
      </c>
      <c r="J155" s="62">
        <v>6.2920799999999999E-2</v>
      </c>
      <c r="K155" s="62">
        <v>6.3125000000000001E-2</v>
      </c>
      <c r="L155" s="63"/>
      <c r="M155" s="63">
        <v>7838200</v>
      </c>
      <c r="N155" s="63">
        <v>7838200</v>
      </c>
      <c r="O155" s="63">
        <v>4600000</v>
      </c>
      <c r="P155" s="64">
        <f>M155/O155</f>
        <v>1.7039565217391304</v>
      </c>
      <c r="Q155" s="100">
        <v>6.3500000000000001E-2</v>
      </c>
      <c r="R155" s="100">
        <v>0</v>
      </c>
      <c r="S155" s="55">
        <v>0</v>
      </c>
      <c r="T155" s="55"/>
    </row>
    <row r="156" spans="1:20" ht="13.5" customHeight="1" x14ac:dyDescent="0.2">
      <c r="A156" s="58"/>
      <c r="B156" s="58"/>
      <c r="C156" s="17" t="s">
        <v>47</v>
      </c>
      <c r="D156" s="18">
        <v>51971</v>
      </c>
      <c r="E156" s="62">
        <v>6.3750000000000001E-2</v>
      </c>
      <c r="F156" s="62">
        <v>6.5000000000000002E-2</v>
      </c>
      <c r="G156" s="62">
        <v>6.6420800000000002E-2</v>
      </c>
      <c r="H156" s="62">
        <v>6.8437499999999998E-2</v>
      </c>
      <c r="I156" s="62"/>
      <c r="J156" s="62"/>
      <c r="K156" s="62"/>
      <c r="L156" s="63"/>
      <c r="M156" s="63">
        <v>3007000</v>
      </c>
      <c r="N156" s="63">
        <v>300000</v>
      </c>
      <c r="O156" s="63"/>
      <c r="P156" s="64"/>
      <c r="Q156" s="100">
        <v>6.5299999999999997E-2</v>
      </c>
      <c r="R156" s="100">
        <v>1.9887751488813776E-3</v>
      </c>
      <c r="S156" s="55">
        <v>29293528.561597757</v>
      </c>
      <c r="T156" s="55"/>
    </row>
    <row r="157" spans="1:20" ht="13.5" customHeight="1" x14ac:dyDescent="0.2">
      <c r="A157" s="112">
        <v>41149</v>
      </c>
      <c r="B157" s="112">
        <v>41151</v>
      </c>
      <c r="C157" s="83" t="s">
        <v>93</v>
      </c>
      <c r="D157" s="84">
        <v>41498</v>
      </c>
      <c r="E157" s="86"/>
      <c r="F157" s="116">
        <v>4.3749999999999997E-2</v>
      </c>
      <c r="G157" s="116">
        <v>4.8259900000000001E-2</v>
      </c>
      <c r="H157" s="116">
        <v>0.05</v>
      </c>
      <c r="I157" s="116">
        <v>4.3749999999999997E-2</v>
      </c>
      <c r="J157" s="86">
        <v>4.5231199999999999E-2</v>
      </c>
      <c r="K157" s="86">
        <v>4.6249999999999999E-2</v>
      </c>
      <c r="L157" s="118">
        <v>6000000</v>
      </c>
      <c r="M157" s="118">
        <v>666300</v>
      </c>
      <c r="N157" s="118">
        <v>666300</v>
      </c>
      <c r="O157" s="118">
        <v>540000</v>
      </c>
      <c r="P157" s="89">
        <f t="shared" ref="P157:P166" si="10">M157/O157</f>
        <v>1.2338888888888888</v>
      </c>
      <c r="Q157" s="120">
        <v>4.9000000000000002E-2</v>
      </c>
      <c r="R157" s="54"/>
      <c r="S157" s="55">
        <f>O157*J157/$R$10</f>
        <v>25028617.345827125</v>
      </c>
      <c r="T157" s="55"/>
    </row>
    <row r="158" spans="1:20" ht="13.5" customHeight="1" x14ac:dyDescent="0.2">
      <c r="A158" s="81"/>
      <c r="B158" s="81"/>
      <c r="C158" s="83" t="s">
        <v>34</v>
      </c>
      <c r="D158" s="84">
        <v>42840</v>
      </c>
      <c r="E158" s="86">
        <v>6.25E-2</v>
      </c>
      <c r="F158" s="86">
        <v>5.5625000000000001E-2</v>
      </c>
      <c r="G158" s="86">
        <v>5.6602699999999999E-2</v>
      </c>
      <c r="H158" s="86">
        <v>0.06</v>
      </c>
      <c r="I158" s="86">
        <v>5.5625000000000001E-2</v>
      </c>
      <c r="J158" s="86">
        <v>5.5915199999999998E-2</v>
      </c>
      <c r="K158" s="86">
        <v>5.6250000000000001E-2</v>
      </c>
      <c r="L158" s="88"/>
      <c r="M158" s="88">
        <v>887000</v>
      </c>
      <c r="N158" s="88">
        <v>600000</v>
      </c>
      <c r="O158" s="88">
        <v>350000</v>
      </c>
      <c r="P158" s="89">
        <f t="shared" si="10"/>
        <v>2.5342857142857143</v>
      </c>
      <c r="Q158" s="90">
        <v>4.65E-2</v>
      </c>
      <c r="R158" s="54"/>
      <c r="S158" s="55"/>
      <c r="T158" s="55"/>
    </row>
    <row r="159" spans="1:20" ht="13.5" customHeight="1" x14ac:dyDescent="0.2">
      <c r="A159" s="81"/>
      <c r="B159" s="81"/>
      <c r="C159" s="83" t="s">
        <v>94</v>
      </c>
      <c r="D159" s="84">
        <v>45061</v>
      </c>
      <c r="E159" s="86">
        <v>5.6250000000000001E-2</v>
      </c>
      <c r="F159" s="86">
        <v>6.1562499999999999E-2</v>
      </c>
      <c r="G159" s="86">
        <v>6.2457400000000003E-2</v>
      </c>
      <c r="H159" s="86">
        <v>6.5312499999999996E-2</v>
      </c>
      <c r="I159" s="86"/>
      <c r="J159" s="86"/>
      <c r="K159" s="86"/>
      <c r="L159" s="88"/>
      <c r="M159" s="88">
        <v>1530000</v>
      </c>
      <c r="N159" s="88"/>
      <c r="O159" s="88"/>
      <c r="P159" s="89"/>
      <c r="Q159" s="90">
        <v>6.1499999999999999E-2</v>
      </c>
      <c r="R159" s="54">
        <v>0</v>
      </c>
      <c r="S159" s="55">
        <v>0</v>
      </c>
      <c r="T159" s="55"/>
    </row>
    <row r="160" spans="1:20" ht="13.5" customHeight="1" x14ac:dyDescent="0.2">
      <c r="A160" s="81"/>
      <c r="B160" s="81"/>
      <c r="C160" s="83" t="s">
        <v>98</v>
      </c>
      <c r="D160" s="84">
        <v>48714</v>
      </c>
      <c r="E160" s="86">
        <v>6.6250000000000003E-2</v>
      </c>
      <c r="F160" s="86">
        <v>6.7812499999999998E-2</v>
      </c>
      <c r="G160" s="86">
        <v>6.9155700000000001E-2</v>
      </c>
      <c r="H160" s="86">
        <v>7.2499999999999995E-2</v>
      </c>
      <c r="I160" s="86">
        <v>6.7812499999999998E-2</v>
      </c>
      <c r="J160" s="86">
        <v>6.8855E-2</v>
      </c>
      <c r="K160" s="86">
        <v>6.9062499999999999E-2</v>
      </c>
      <c r="L160" s="88"/>
      <c r="M160" s="88">
        <v>4284500</v>
      </c>
      <c r="N160" s="88">
        <v>3200000</v>
      </c>
      <c r="O160" s="88">
        <v>2950000</v>
      </c>
      <c r="P160" s="89">
        <f t="shared" si="10"/>
        <v>1.4523728813559322</v>
      </c>
      <c r="Q160" s="90">
        <v>6.8900000000000003E-2</v>
      </c>
      <c r="R160" s="54">
        <v>0</v>
      </c>
      <c r="S160" s="55">
        <v>0</v>
      </c>
      <c r="T160" s="55"/>
    </row>
    <row r="161" spans="1:20" ht="13.5" customHeight="1" x14ac:dyDescent="0.2">
      <c r="A161" s="81"/>
      <c r="B161" s="81"/>
      <c r="C161" s="83" t="s">
        <v>47</v>
      </c>
      <c r="D161" s="84">
        <v>51971</v>
      </c>
      <c r="E161" s="86">
        <v>6.3750000000000001E-2</v>
      </c>
      <c r="F161" s="86">
        <v>6.8437499999999998E-2</v>
      </c>
      <c r="G161" s="86">
        <v>6.9570300000000002E-2</v>
      </c>
      <c r="H161" s="86">
        <v>7.1249999999999994E-2</v>
      </c>
      <c r="I161" s="86"/>
      <c r="J161" s="86"/>
      <c r="K161" s="86"/>
      <c r="L161" s="88"/>
      <c r="M161" s="88">
        <v>1149500</v>
      </c>
      <c r="N161" s="88">
        <v>100000</v>
      </c>
      <c r="O161" s="88"/>
      <c r="P161" s="89"/>
      <c r="Q161" s="90">
        <v>6.8500000000000005E-2</v>
      </c>
      <c r="R161" s="54">
        <v>1.9887751488813776E-3</v>
      </c>
      <c r="S161" s="55">
        <v>29293528.561597757</v>
      </c>
      <c r="T161" s="55"/>
    </row>
    <row r="162" spans="1:20" ht="13.5" customHeight="1" x14ac:dyDescent="0.2">
      <c r="A162" s="68">
        <v>41156</v>
      </c>
      <c r="B162" s="68">
        <v>41158</v>
      </c>
      <c r="C162" s="69" t="s">
        <v>102</v>
      </c>
      <c r="D162" s="70"/>
      <c r="E162" s="62"/>
      <c r="F162" s="72">
        <v>4.3749999999999997E-2</v>
      </c>
      <c r="G162" s="72"/>
      <c r="H162" s="72">
        <v>0.05</v>
      </c>
      <c r="I162" s="72"/>
      <c r="J162" s="62"/>
      <c r="K162" s="62"/>
      <c r="L162" s="74">
        <v>1000000</v>
      </c>
      <c r="M162" s="74">
        <v>182000</v>
      </c>
      <c r="N162" s="74"/>
      <c r="O162" s="74"/>
      <c r="P162" s="64"/>
      <c r="Q162" s="145"/>
      <c r="R162" s="100"/>
      <c r="S162" s="55">
        <f>O162*J162/$R$10</f>
        <v>0</v>
      </c>
      <c r="T162" s="55"/>
    </row>
    <row r="163" spans="1:20" ht="13.5" customHeight="1" x14ac:dyDescent="0.2">
      <c r="A163" s="58"/>
      <c r="B163" s="58"/>
      <c r="C163" s="17" t="s">
        <v>48</v>
      </c>
      <c r="D163" s="18">
        <v>43146</v>
      </c>
      <c r="E163" s="62">
        <v>4.4499999999999998E-2</v>
      </c>
      <c r="F163" s="62">
        <v>5.7812500000000003E-2</v>
      </c>
      <c r="G163" s="62"/>
      <c r="H163" s="62">
        <v>6.3125000000000001E-2</v>
      </c>
      <c r="I163" s="62">
        <v>5.7812500000000003E-2</v>
      </c>
      <c r="J163" s="62">
        <v>6.0042600000000002E-2</v>
      </c>
      <c r="K163" s="62"/>
      <c r="L163" s="63"/>
      <c r="M163" s="63">
        <v>870000</v>
      </c>
      <c r="N163" s="63"/>
      <c r="O163" s="63">
        <v>660000</v>
      </c>
      <c r="P163" s="64">
        <f t="shared" si="10"/>
        <v>1.3181818181818181</v>
      </c>
      <c r="Q163" s="100"/>
      <c r="R163" s="100"/>
      <c r="S163" s="55"/>
      <c r="T163" s="55"/>
    </row>
    <row r="164" spans="1:20" ht="13.5" customHeight="1" x14ac:dyDescent="0.2">
      <c r="A164" s="58"/>
      <c r="B164" s="58"/>
      <c r="C164" s="17" t="s">
        <v>49</v>
      </c>
      <c r="D164" s="18">
        <v>44576</v>
      </c>
      <c r="E164" s="62">
        <v>5.45E-2</v>
      </c>
      <c r="F164" s="62">
        <v>6.0937499999999999E-2</v>
      </c>
      <c r="G164" s="62"/>
      <c r="H164" s="62">
        <v>6.5000000000000002E-2</v>
      </c>
      <c r="I164" s="62">
        <v>6.0937499999999999E-2</v>
      </c>
      <c r="J164" s="62">
        <v>6.3195500000000002E-2</v>
      </c>
      <c r="K164" s="62"/>
      <c r="L164" s="63"/>
      <c r="M164" s="63">
        <v>390000</v>
      </c>
      <c r="N164" s="63"/>
      <c r="O164" s="63">
        <v>193000</v>
      </c>
      <c r="P164" s="64">
        <f t="shared" si="10"/>
        <v>2.0207253886010363</v>
      </c>
      <c r="Q164" s="100"/>
      <c r="R164" s="100"/>
      <c r="S164" s="55"/>
      <c r="T164" s="55"/>
    </row>
    <row r="165" spans="1:20" ht="13.5" customHeight="1" x14ac:dyDescent="0.2">
      <c r="A165" s="58"/>
      <c r="B165" s="58"/>
      <c r="C165" s="17" t="s">
        <v>50</v>
      </c>
      <c r="D165" s="18">
        <v>46402</v>
      </c>
      <c r="E165" s="62">
        <v>0.06</v>
      </c>
      <c r="F165" s="62">
        <v>6.6875000000000004E-2</v>
      </c>
      <c r="G165" s="62"/>
      <c r="H165" s="62">
        <v>7.1249999999999994E-2</v>
      </c>
      <c r="I165" s="62"/>
      <c r="J165" s="62"/>
      <c r="K165" s="62"/>
      <c r="L165" s="63"/>
      <c r="M165" s="63">
        <v>139000</v>
      </c>
      <c r="N165" s="63"/>
      <c r="O165" s="63"/>
      <c r="P165" s="64"/>
      <c r="Q165" s="100"/>
      <c r="R165" s="100" t="e">
        <f>O165*J165/$O$43</f>
        <v>#DIV/0!</v>
      </c>
      <c r="S165" s="55">
        <f>O165*J165/$R$10</f>
        <v>0</v>
      </c>
      <c r="T165" s="55"/>
    </row>
    <row r="166" spans="1:20" ht="13.5" customHeight="1" x14ac:dyDescent="0.2">
      <c r="A166" s="58"/>
      <c r="B166" s="58"/>
      <c r="C166" s="17" t="s">
        <v>53</v>
      </c>
      <c r="D166" s="18">
        <v>50086</v>
      </c>
      <c r="E166" s="62">
        <v>6.0999999999999999E-2</v>
      </c>
      <c r="F166" s="62">
        <v>6.7500000000000004E-2</v>
      </c>
      <c r="G166" s="62"/>
      <c r="H166" s="62">
        <v>7.3124999999999996E-2</v>
      </c>
      <c r="I166" s="62">
        <v>6.7500000000000004E-2</v>
      </c>
      <c r="J166" s="62">
        <v>6.7808900000000005E-2</v>
      </c>
      <c r="K166" s="62"/>
      <c r="L166" s="63"/>
      <c r="M166" s="63">
        <v>402000</v>
      </c>
      <c r="N166" s="63"/>
      <c r="O166" s="63">
        <v>250000</v>
      </c>
      <c r="P166" s="64">
        <f t="shared" si="10"/>
        <v>1.6080000000000001</v>
      </c>
      <c r="Q166" s="100"/>
      <c r="R166" s="100" t="e">
        <f>O166*J166/$O$43</f>
        <v>#DIV/0!</v>
      </c>
      <c r="S166" s="55">
        <f>O166*J166/$R$10</f>
        <v>17371275.050938465</v>
      </c>
      <c r="T166" s="55"/>
    </row>
    <row r="167" spans="1:20" ht="13.5" customHeight="1" x14ac:dyDescent="0.2">
      <c r="A167" s="112">
        <v>41163</v>
      </c>
      <c r="B167" s="112">
        <v>41165</v>
      </c>
      <c r="C167" s="113" t="s">
        <v>99</v>
      </c>
      <c r="D167" s="114">
        <v>41255</v>
      </c>
      <c r="E167" s="86"/>
      <c r="F167" s="116">
        <v>0.04</v>
      </c>
      <c r="G167" s="116">
        <v>4.1332500000000001E-2</v>
      </c>
      <c r="H167" s="116">
        <v>4.3749999999999997E-2</v>
      </c>
      <c r="I167" s="116">
        <v>0.04</v>
      </c>
      <c r="J167" s="86">
        <v>4.01819E-2</v>
      </c>
      <c r="K167" s="86">
        <v>4.0625000000000001E-2</v>
      </c>
      <c r="L167" s="118">
        <v>5000000</v>
      </c>
      <c r="M167" s="118">
        <v>4487000</v>
      </c>
      <c r="N167" s="118">
        <v>3650000</v>
      </c>
      <c r="O167" s="118">
        <v>1000000</v>
      </c>
      <c r="P167" s="89">
        <f>M167/O167</f>
        <v>4.4870000000000001</v>
      </c>
      <c r="Q167" s="120">
        <v>4.1000000000000002E-2</v>
      </c>
      <c r="R167" s="54"/>
      <c r="S167" s="55">
        <f>O167*J167/$R$10</f>
        <v>41175175.35127715</v>
      </c>
      <c r="T167" s="55"/>
    </row>
    <row r="168" spans="1:20" ht="13.5" customHeight="1" x14ac:dyDescent="0.2">
      <c r="A168" s="81"/>
      <c r="B168" s="81"/>
      <c r="C168" s="83" t="s">
        <v>100</v>
      </c>
      <c r="D168" s="84">
        <v>41164</v>
      </c>
      <c r="E168" s="86"/>
      <c r="F168" s="86">
        <v>4.5624999999999999E-2</v>
      </c>
      <c r="G168" s="86">
        <v>4.7959000000000002E-2</v>
      </c>
      <c r="H168" s="86">
        <v>5.5E-2</v>
      </c>
      <c r="I168" s="86">
        <v>4.5624999999999999E-2</v>
      </c>
      <c r="J168" s="86">
        <v>4.6062499999999999E-2</v>
      </c>
      <c r="K168" s="86">
        <v>4.6249999999999999E-2</v>
      </c>
      <c r="L168" s="88"/>
      <c r="M168" s="88">
        <v>1785000</v>
      </c>
      <c r="N168" s="88">
        <v>1100000</v>
      </c>
      <c r="O168" s="88">
        <v>1000000</v>
      </c>
      <c r="P168" s="89">
        <f>M168/O168</f>
        <v>1.7849999999999999</v>
      </c>
      <c r="Q168" s="90">
        <v>4.65E-2</v>
      </c>
      <c r="R168" s="54"/>
      <c r="S168" s="55"/>
      <c r="T168" s="55"/>
    </row>
    <row r="169" spans="1:20" ht="13.5" customHeight="1" x14ac:dyDescent="0.2">
      <c r="A169" s="81"/>
      <c r="B169" s="81"/>
      <c r="C169" s="83" t="s">
        <v>94</v>
      </c>
      <c r="D169" s="84">
        <v>45061</v>
      </c>
      <c r="E169" s="86">
        <v>5.6250000000000001E-2</v>
      </c>
      <c r="F169" s="86">
        <v>5.9374999999999997E-2</v>
      </c>
      <c r="G169" s="86">
        <v>6.0299499999999999E-2</v>
      </c>
      <c r="H169" s="86">
        <v>6.21875E-2</v>
      </c>
      <c r="I169" s="86">
        <v>5.9374999999999997E-2</v>
      </c>
      <c r="J169" s="86">
        <v>5.9670000000000001E-2</v>
      </c>
      <c r="K169" s="86">
        <v>5.9687499999999998E-2</v>
      </c>
      <c r="L169" s="88"/>
      <c r="M169" s="88">
        <v>2121500</v>
      </c>
      <c r="N169" s="88">
        <v>450000</v>
      </c>
      <c r="O169" s="88">
        <v>400000</v>
      </c>
      <c r="P169" s="89">
        <f>M169/O169</f>
        <v>5.30375</v>
      </c>
      <c r="Q169" s="90">
        <v>5.9700000000000003E-2</v>
      </c>
      <c r="R169" s="54">
        <v>0</v>
      </c>
      <c r="S169" s="55">
        <v>0</v>
      </c>
      <c r="T169" s="55"/>
    </row>
    <row r="170" spans="1:20" ht="13.5" customHeight="1" x14ac:dyDescent="0.2">
      <c r="A170" s="81"/>
      <c r="B170" s="81"/>
      <c r="C170" s="83" t="s">
        <v>95</v>
      </c>
      <c r="D170" s="84">
        <v>46888</v>
      </c>
      <c r="E170" s="86">
        <v>6.1249999999999999E-2</v>
      </c>
      <c r="F170" s="86">
        <v>6.3125000000000001E-2</v>
      </c>
      <c r="G170" s="86">
        <v>6.4128599999999994E-2</v>
      </c>
      <c r="H170" s="86">
        <v>6.7500000000000004E-2</v>
      </c>
      <c r="I170" s="86">
        <v>6.3125000000000001E-2</v>
      </c>
      <c r="J170" s="86">
        <v>6.3644900000000004E-2</v>
      </c>
      <c r="K170" s="86">
        <v>6.3750000000000001E-2</v>
      </c>
      <c r="L170" s="88"/>
      <c r="M170" s="88">
        <v>1750500</v>
      </c>
      <c r="N170" s="88">
        <v>650000</v>
      </c>
      <c r="O170" s="88">
        <v>600000</v>
      </c>
      <c r="P170" s="89">
        <f>M170/O170</f>
        <v>2.9175</v>
      </c>
      <c r="Q170" s="90">
        <v>6.3700000000000007E-2</v>
      </c>
      <c r="R170" s="54">
        <v>0</v>
      </c>
      <c r="S170" s="55">
        <v>0</v>
      </c>
      <c r="T170" s="55"/>
    </row>
    <row r="171" spans="1:20" ht="13.5" customHeight="1" x14ac:dyDescent="0.2">
      <c r="A171" s="81"/>
      <c r="B171" s="81"/>
      <c r="C171" s="83" t="s">
        <v>98</v>
      </c>
      <c r="D171" s="84">
        <v>48714</v>
      </c>
      <c r="E171" s="86">
        <v>6.6250000000000003E-2</v>
      </c>
      <c r="F171" s="86">
        <v>6.5937499999999996E-2</v>
      </c>
      <c r="G171" s="86">
        <v>6.7079E-2</v>
      </c>
      <c r="H171" s="86">
        <v>6.9375000000000006E-2</v>
      </c>
      <c r="I171" s="86">
        <v>6.5937499999999996E-2</v>
      </c>
      <c r="J171" s="86">
        <v>6.6852700000000001E-2</v>
      </c>
      <c r="K171" s="86">
        <v>6.7187499999999997E-2</v>
      </c>
      <c r="L171" s="88"/>
      <c r="M171" s="88">
        <v>3973000</v>
      </c>
      <c r="N171" s="88">
        <v>3450000</v>
      </c>
      <c r="O171" s="88">
        <v>3200000</v>
      </c>
      <c r="P171" s="89"/>
      <c r="Q171" s="90">
        <v>6.6900000000000001E-2</v>
      </c>
      <c r="R171" s="54">
        <v>1.9887751488813776E-3</v>
      </c>
      <c r="S171" s="55">
        <v>29293528.561597757</v>
      </c>
      <c r="T171" s="55"/>
    </row>
    <row r="172" spans="1:20" ht="13.5" customHeight="1" x14ac:dyDescent="0.2">
      <c r="A172" s="68">
        <v>41170</v>
      </c>
      <c r="B172" s="68">
        <v>41172</v>
      </c>
      <c r="C172" s="69" t="s">
        <v>101</v>
      </c>
      <c r="D172" s="70"/>
      <c r="E172" s="62"/>
      <c r="F172" s="72">
        <v>5.5E-2</v>
      </c>
      <c r="G172" s="72"/>
      <c r="H172" s="72">
        <v>5.7500000000000002E-2</v>
      </c>
      <c r="I172" s="72"/>
      <c r="J172" s="62"/>
      <c r="K172" s="62"/>
      <c r="L172" s="74">
        <v>1000000</v>
      </c>
      <c r="M172" s="74">
        <v>151000</v>
      </c>
      <c r="N172" s="74"/>
      <c r="O172" s="74"/>
      <c r="P172" s="64"/>
      <c r="Q172" s="145"/>
      <c r="R172" s="100"/>
      <c r="S172" s="55">
        <f>O172*J172/$R$10</f>
        <v>0</v>
      </c>
      <c r="T172" s="55"/>
    </row>
    <row r="173" spans="1:20" ht="13.5" customHeight="1" x14ac:dyDescent="0.2">
      <c r="A173" s="58"/>
      <c r="B173" s="58"/>
      <c r="C173" s="17" t="s">
        <v>48</v>
      </c>
      <c r="D173" s="18">
        <v>43146</v>
      </c>
      <c r="E173" s="62">
        <v>4.4499999999999998E-2</v>
      </c>
      <c r="F173" s="62">
        <v>5.9062499999999997E-2</v>
      </c>
      <c r="G173" s="62"/>
      <c r="H173" s="62">
        <v>6.5000000000000002E-2</v>
      </c>
      <c r="I173" s="62"/>
      <c r="J173" s="62"/>
      <c r="K173" s="62"/>
      <c r="L173" s="63"/>
      <c r="M173" s="63">
        <v>741000</v>
      </c>
      <c r="N173" s="63"/>
      <c r="O173" s="63"/>
      <c r="P173" s="64"/>
      <c r="Q173" s="100"/>
      <c r="R173" s="100"/>
      <c r="S173" s="55"/>
      <c r="T173" s="55"/>
    </row>
    <row r="174" spans="1:20" ht="13.5" customHeight="1" x14ac:dyDescent="0.2">
      <c r="A174" s="58"/>
      <c r="B174" s="58"/>
      <c r="C174" s="17" t="s">
        <v>49</v>
      </c>
      <c r="D174" s="18">
        <v>44576</v>
      </c>
      <c r="E174" s="62">
        <v>5.45E-2</v>
      </c>
      <c r="F174" s="62">
        <v>6.25E-2</v>
      </c>
      <c r="G174" s="62"/>
      <c r="H174" s="62">
        <v>6.7500000000000004E-2</v>
      </c>
      <c r="I174" s="62"/>
      <c r="J174" s="62"/>
      <c r="K174" s="62"/>
      <c r="L174" s="63"/>
      <c r="M174" s="63">
        <v>241000</v>
      </c>
      <c r="N174" s="63"/>
      <c r="O174" s="63"/>
      <c r="P174" s="64"/>
      <c r="Q174" s="100"/>
      <c r="R174" s="100"/>
      <c r="S174" s="55"/>
      <c r="T174" s="55"/>
    </row>
    <row r="175" spans="1:20" ht="13.5" customHeight="1" x14ac:dyDescent="0.2">
      <c r="A175" s="58"/>
      <c r="B175" s="58"/>
      <c r="C175" s="17" t="s">
        <v>50</v>
      </c>
      <c r="D175" s="18">
        <v>46402</v>
      </c>
      <c r="E175" s="62">
        <v>0.06</v>
      </c>
      <c r="F175" s="62">
        <v>6.5312499999999996E-2</v>
      </c>
      <c r="G175" s="62"/>
      <c r="H175" s="62">
        <v>7.0000000000000007E-2</v>
      </c>
      <c r="I175" s="62"/>
      <c r="J175" s="62"/>
      <c r="K175" s="62"/>
      <c r="L175" s="63"/>
      <c r="M175" s="63">
        <v>26000</v>
      </c>
      <c r="N175" s="63"/>
      <c r="O175" s="63"/>
      <c r="P175" s="64"/>
      <c r="Q175" s="100"/>
      <c r="R175" s="100" t="e">
        <f>O175*J175/$O$43</f>
        <v>#DIV/0!</v>
      </c>
      <c r="S175" s="55">
        <f>O175*J175/$R$10</f>
        <v>0</v>
      </c>
      <c r="T175" s="55"/>
    </row>
    <row r="176" spans="1:20" ht="13.5" customHeight="1" x14ac:dyDescent="0.2">
      <c r="A176" s="58"/>
      <c r="B176" s="58"/>
      <c r="C176" s="17" t="s">
        <v>53</v>
      </c>
      <c r="D176" s="18">
        <v>50086</v>
      </c>
      <c r="E176" s="62">
        <v>6.0999999999999999E-2</v>
      </c>
      <c r="F176" s="62">
        <v>6.7500000000000004E-2</v>
      </c>
      <c r="G176" s="62"/>
      <c r="H176" s="62">
        <v>7.2499999999999995E-2</v>
      </c>
      <c r="I176" s="62"/>
      <c r="J176" s="62"/>
      <c r="K176" s="62"/>
      <c r="L176" s="63"/>
      <c r="M176" s="63">
        <v>206000</v>
      </c>
      <c r="N176" s="63"/>
      <c r="O176" s="63"/>
      <c r="P176" s="64"/>
      <c r="Q176" s="100"/>
      <c r="R176" s="100" t="e">
        <f>O176*J176/$O$43</f>
        <v>#DIV/0!</v>
      </c>
      <c r="S176" s="55">
        <f>O176*J176/$R$10</f>
        <v>0</v>
      </c>
      <c r="T176" s="55"/>
    </row>
    <row r="177" spans="1:20" ht="13.5" customHeight="1" x14ac:dyDescent="0.2">
      <c r="A177" s="112">
        <v>41177</v>
      </c>
      <c r="B177" s="112">
        <f>A177+2</f>
        <v>41179</v>
      </c>
      <c r="C177" s="113" t="s">
        <v>100</v>
      </c>
      <c r="D177" s="114">
        <v>41529</v>
      </c>
      <c r="E177" s="86"/>
      <c r="F177" s="116">
        <v>4.5937499999999999E-2</v>
      </c>
      <c r="G177" s="116">
        <v>4.7070300000000002E-2</v>
      </c>
      <c r="H177" s="116">
        <v>0.05</v>
      </c>
      <c r="I177" s="116">
        <v>4.5937499999999999E-2</v>
      </c>
      <c r="J177" s="86">
        <v>4.6809400000000001E-2</v>
      </c>
      <c r="K177" s="86">
        <v>4.7500000000000001E-2</v>
      </c>
      <c r="L177" s="118">
        <v>5000000</v>
      </c>
      <c r="M177" s="118">
        <v>1796000</v>
      </c>
      <c r="N177" s="118">
        <v>1150000</v>
      </c>
      <c r="O177" s="118">
        <v>1000000</v>
      </c>
      <c r="P177" s="89">
        <f t="shared" ref="P177:P192" si="11">M177/O177</f>
        <v>1.796</v>
      </c>
      <c r="Q177" s="120">
        <v>4.7E-2</v>
      </c>
      <c r="R177" s="54"/>
      <c r="S177" s="55">
        <f>O177*J177/$R$10</f>
        <v>47966503.651845053</v>
      </c>
      <c r="T177" s="55"/>
    </row>
    <row r="178" spans="1:20" ht="13.5" customHeight="1" x14ac:dyDescent="0.2">
      <c r="A178" s="81"/>
      <c r="B178" s="81"/>
      <c r="C178" s="83" t="s">
        <v>34</v>
      </c>
      <c r="D178" s="84">
        <v>42840</v>
      </c>
      <c r="E178" s="86">
        <v>6.25E-2</v>
      </c>
      <c r="F178" s="86">
        <v>5.2812499999999998E-2</v>
      </c>
      <c r="G178" s="86">
        <v>5.5194300000000002E-2</v>
      </c>
      <c r="H178" s="86">
        <v>5.7500000000000002E-2</v>
      </c>
      <c r="I178" s="86">
        <v>5.2812499999999998E-2</v>
      </c>
      <c r="J178" s="86">
        <v>5.44783E-2</v>
      </c>
      <c r="K178" s="86">
        <v>5.5312500000000001E-2</v>
      </c>
      <c r="L178" s="88"/>
      <c r="M178" s="88">
        <v>1761000</v>
      </c>
      <c r="N178" s="88">
        <v>950000</v>
      </c>
      <c r="O178" s="88">
        <v>950000</v>
      </c>
      <c r="P178" s="89">
        <f t="shared" si="11"/>
        <v>1.8536842105263158</v>
      </c>
      <c r="Q178" s="90">
        <v>5.45E-2</v>
      </c>
      <c r="R178" s="54">
        <v>0</v>
      </c>
      <c r="S178" s="55">
        <v>0</v>
      </c>
      <c r="T178" s="55"/>
    </row>
    <row r="179" spans="1:20" ht="13.5" customHeight="1" x14ac:dyDescent="0.2">
      <c r="A179" s="81"/>
      <c r="B179" s="81"/>
      <c r="C179" s="83" t="s">
        <v>94</v>
      </c>
      <c r="D179" s="84">
        <v>45061</v>
      </c>
      <c r="E179" s="86">
        <v>5.6250000000000001E-2</v>
      </c>
      <c r="F179" s="86">
        <v>5.9062499999999997E-2</v>
      </c>
      <c r="G179" s="86">
        <v>6.0377800000000002E-2</v>
      </c>
      <c r="H179" s="86">
        <v>6.21875E-2</v>
      </c>
      <c r="I179" s="86">
        <v>5.9062499999999997E-2</v>
      </c>
      <c r="J179" s="86">
        <v>5.9893099999999998E-2</v>
      </c>
      <c r="K179" s="86">
        <v>6.0312499999999998E-2</v>
      </c>
      <c r="L179" s="88"/>
      <c r="M179" s="88">
        <v>4200800</v>
      </c>
      <c r="N179" s="88">
        <v>2200000</v>
      </c>
      <c r="O179" s="88">
        <v>2200000</v>
      </c>
      <c r="P179" s="89">
        <f t="shared" si="11"/>
        <v>1.9094545454545455</v>
      </c>
      <c r="Q179" s="90">
        <v>5.9900000000000002E-2</v>
      </c>
      <c r="R179" s="54">
        <v>0</v>
      </c>
      <c r="S179" s="55">
        <v>0</v>
      </c>
      <c r="T179" s="55"/>
    </row>
    <row r="180" spans="1:20" ht="13.5" customHeight="1" x14ac:dyDescent="0.2">
      <c r="A180" s="81"/>
      <c r="B180" s="81"/>
      <c r="C180" s="83" t="s">
        <v>98</v>
      </c>
      <c r="D180" s="84">
        <v>48714</v>
      </c>
      <c r="E180" s="86">
        <v>6.6250000000000003E-2</v>
      </c>
      <c r="F180" s="86">
        <v>6.6875000000000004E-2</v>
      </c>
      <c r="G180" s="86">
        <v>6.7796400000000007E-2</v>
      </c>
      <c r="H180" s="86">
        <v>6.9062499999999999E-2</v>
      </c>
      <c r="I180" s="86">
        <v>6.6875000000000004E-2</v>
      </c>
      <c r="J180" s="86">
        <v>6.7299300000000006E-2</v>
      </c>
      <c r="K180" s="86">
        <v>6.7500000000000004E-2</v>
      </c>
      <c r="L180" s="88"/>
      <c r="M180" s="88">
        <v>4118000</v>
      </c>
      <c r="N180" s="88">
        <v>1150000</v>
      </c>
      <c r="O180" s="88">
        <v>1150000</v>
      </c>
      <c r="P180" s="89">
        <f t="shared" si="11"/>
        <v>3.5808695652173914</v>
      </c>
      <c r="Q180" s="90">
        <v>6.7299999999999999E-2</v>
      </c>
      <c r="R180" s="54">
        <v>1.9887751488813776E-3</v>
      </c>
      <c r="S180" s="55">
        <v>29293528.561597757</v>
      </c>
      <c r="T180" s="55"/>
    </row>
    <row r="181" spans="1:20" ht="13.5" customHeight="1" x14ac:dyDescent="0.2">
      <c r="A181" s="68">
        <v>41184</v>
      </c>
      <c r="B181" s="68">
        <v>41186</v>
      </c>
      <c r="C181" s="69" t="s">
        <v>108</v>
      </c>
      <c r="D181" s="70">
        <v>41367</v>
      </c>
      <c r="E181" s="62"/>
      <c r="F181" s="72">
        <v>4.4999999999999998E-2</v>
      </c>
      <c r="G181" s="72"/>
      <c r="H181" s="72">
        <v>5.7500000000000002E-2</v>
      </c>
      <c r="I181" s="72">
        <v>4.4999999999999998E-2</v>
      </c>
      <c r="J181" s="62">
        <v>4.6944399999999997E-2</v>
      </c>
      <c r="K181" s="62"/>
      <c r="L181" s="74">
        <v>1000000</v>
      </c>
      <c r="M181" s="74">
        <v>265000</v>
      </c>
      <c r="N181" s="74"/>
      <c r="O181" s="74">
        <v>90000</v>
      </c>
      <c r="P181" s="64">
        <f t="shared" si="11"/>
        <v>2.9444444444444446</v>
      </c>
      <c r="Q181" s="145"/>
      <c r="R181" s="100"/>
      <c r="S181" s="55">
        <f>O181*J181/$R$10</f>
        <v>4329435.6702506486</v>
      </c>
      <c r="T181" s="55"/>
    </row>
    <row r="182" spans="1:20" ht="13.5" customHeight="1" x14ac:dyDescent="0.2">
      <c r="A182" s="58"/>
      <c r="B182" s="58"/>
      <c r="C182" s="17" t="s">
        <v>48</v>
      </c>
      <c r="D182" s="18">
        <v>43146</v>
      </c>
      <c r="E182" s="62">
        <v>4.4499999999999998E-2</v>
      </c>
      <c r="F182" s="62">
        <v>5.9687499999999998E-2</v>
      </c>
      <c r="G182" s="62"/>
      <c r="H182" s="62">
        <v>6.5000000000000002E-2</v>
      </c>
      <c r="I182" s="62">
        <v>5.9687499999999998E-2</v>
      </c>
      <c r="J182" s="62">
        <v>6.0198000000000002E-2</v>
      </c>
      <c r="K182" s="62"/>
      <c r="L182" s="63"/>
      <c r="M182" s="63">
        <v>756000</v>
      </c>
      <c r="N182" s="63"/>
      <c r="O182" s="63">
        <v>460000</v>
      </c>
      <c r="P182" s="64">
        <f t="shared" si="11"/>
        <v>1.6434782608695653</v>
      </c>
      <c r="Q182" s="100"/>
      <c r="R182" s="100"/>
      <c r="S182" s="55"/>
      <c r="T182" s="55"/>
    </row>
    <row r="183" spans="1:20" ht="13.5" customHeight="1" x14ac:dyDescent="0.2">
      <c r="A183" s="58"/>
      <c r="B183" s="58"/>
      <c r="C183" s="17" t="s">
        <v>49</v>
      </c>
      <c r="D183" s="18">
        <v>44576</v>
      </c>
      <c r="E183" s="62">
        <v>5.45E-2</v>
      </c>
      <c r="F183" s="62">
        <v>6.25E-2</v>
      </c>
      <c r="G183" s="62"/>
      <c r="H183" s="62">
        <v>6.7500000000000004E-2</v>
      </c>
      <c r="I183" s="62"/>
      <c r="J183" s="62"/>
      <c r="K183" s="62"/>
      <c r="L183" s="63"/>
      <c r="M183" s="63">
        <v>209000</v>
      </c>
      <c r="N183" s="63"/>
      <c r="O183" s="63"/>
      <c r="P183" s="64"/>
      <c r="Q183" s="100"/>
      <c r="R183" s="100"/>
      <c r="S183" s="55"/>
      <c r="T183" s="55"/>
    </row>
    <row r="184" spans="1:20" ht="13.5" customHeight="1" x14ac:dyDescent="0.2">
      <c r="A184" s="58"/>
      <c r="B184" s="58"/>
      <c r="C184" s="17" t="s">
        <v>50</v>
      </c>
      <c r="D184" s="18">
        <v>46402</v>
      </c>
      <c r="E184" s="62">
        <v>0.06</v>
      </c>
      <c r="F184" s="62">
        <v>6.6250000000000003E-2</v>
      </c>
      <c r="G184" s="62"/>
      <c r="H184" s="62">
        <v>7.0000000000000007E-2</v>
      </c>
      <c r="I184" s="62"/>
      <c r="J184" s="62"/>
      <c r="K184" s="62"/>
      <c r="L184" s="63"/>
      <c r="M184" s="63">
        <v>68000</v>
      </c>
      <c r="N184" s="63"/>
      <c r="O184" s="63"/>
      <c r="P184" s="64"/>
      <c r="Q184" s="100"/>
      <c r="R184" s="100" t="e">
        <f>O184*J184/$O$43</f>
        <v>#DIV/0!</v>
      </c>
      <c r="S184" s="55">
        <f>O184*J184/$R$10</f>
        <v>0</v>
      </c>
      <c r="T184" s="55"/>
    </row>
    <row r="185" spans="1:20" ht="13.5" customHeight="1" x14ac:dyDescent="0.2">
      <c r="A185" s="58"/>
      <c r="B185" s="58"/>
      <c r="C185" s="17" t="s">
        <v>53</v>
      </c>
      <c r="D185" s="18">
        <v>50086</v>
      </c>
      <c r="E185" s="62">
        <v>6.0999999999999999E-2</v>
      </c>
      <c r="F185" s="62">
        <v>6.8125000000000005E-2</v>
      </c>
      <c r="G185" s="62"/>
      <c r="H185" s="62">
        <v>7.2499999999999995E-2</v>
      </c>
      <c r="I185" s="62">
        <v>6.8125000000000005E-2</v>
      </c>
      <c r="J185" s="62">
        <v>6.8398899999999999E-2</v>
      </c>
      <c r="K185" s="62"/>
      <c r="L185" s="63"/>
      <c r="M185" s="63">
        <v>102000</v>
      </c>
      <c r="N185" s="63"/>
      <c r="O185" s="63">
        <v>81000</v>
      </c>
      <c r="P185" s="64">
        <f t="shared" si="11"/>
        <v>1.2592592592592593</v>
      </c>
      <c r="Q185" s="100"/>
      <c r="R185" s="100" t="e">
        <f>O185*J185/$O$43</f>
        <v>#DIV/0!</v>
      </c>
      <c r="S185" s="55">
        <f>O185*J185/$R$10</f>
        <v>5677264.4600701332</v>
      </c>
      <c r="T185" s="55"/>
    </row>
    <row r="186" spans="1:20" ht="13.5" customHeight="1" x14ac:dyDescent="0.2">
      <c r="A186" s="112">
        <v>41186</v>
      </c>
      <c r="B186" s="112">
        <v>41190</v>
      </c>
      <c r="C186" s="113" t="s">
        <v>105</v>
      </c>
      <c r="D186" s="114">
        <v>41281</v>
      </c>
      <c r="E186" s="86"/>
      <c r="F186" s="116">
        <v>3.9687500000000001E-2</v>
      </c>
      <c r="G186" s="116">
        <v>4.1053199999999998E-2</v>
      </c>
      <c r="H186" s="116">
        <v>0.05</v>
      </c>
      <c r="I186" s="116">
        <v>3.9687500000000001E-2</v>
      </c>
      <c r="J186" s="86">
        <v>4.0156299999999999E-2</v>
      </c>
      <c r="K186" s="86">
        <v>4.0312500000000001E-2</v>
      </c>
      <c r="L186" s="118">
        <v>5000000</v>
      </c>
      <c r="M186" s="118">
        <v>3711000</v>
      </c>
      <c r="N186" s="118">
        <v>2350000</v>
      </c>
      <c r="O186" s="118">
        <v>1000000</v>
      </c>
      <c r="P186" s="89">
        <f t="shared" si="11"/>
        <v>3.7109999999999999</v>
      </c>
      <c r="Q186" s="120">
        <v>4.0500000000000001E-2</v>
      </c>
      <c r="R186" s="54"/>
      <c r="S186" s="55">
        <f>O186*J186/$R$10</f>
        <v>41148942.532794379</v>
      </c>
      <c r="T186" s="55"/>
    </row>
    <row r="187" spans="1:20" ht="13.5" customHeight="1" x14ac:dyDescent="0.2">
      <c r="A187" s="81"/>
      <c r="B187" s="81"/>
      <c r="C187" s="83" t="s">
        <v>106</v>
      </c>
      <c r="D187" s="84">
        <v>41554</v>
      </c>
      <c r="E187" s="86"/>
      <c r="F187" s="86">
        <v>4.0937500000000002E-2</v>
      </c>
      <c r="G187" s="86">
        <v>4.6291100000000002E-2</v>
      </c>
      <c r="H187" s="86">
        <v>0.05</v>
      </c>
      <c r="I187" s="86">
        <v>4.0937500000000002E-2</v>
      </c>
      <c r="J187" s="86">
        <v>4.4499999999999998E-2</v>
      </c>
      <c r="K187" s="86">
        <v>4.6875E-2</v>
      </c>
      <c r="L187" s="88"/>
      <c r="M187" s="88">
        <v>2450000</v>
      </c>
      <c r="N187" s="88">
        <v>2450000</v>
      </c>
      <c r="O187" s="88">
        <v>1000000</v>
      </c>
      <c r="P187" s="89">
        <f t="shared" si="11"/>
        <v>2.4500000000000002</v>
      </c>
      <c r="Q187" s="90">
        <v>4.6800000000000001E-2</v>
      </c>
      <c r="R187" s="54"/>
      <c r="S187" s="55"/>
      <c r="T187" s="55"/>
    </row>
    <row r="188" spans="1:20" ht="13.5" customHeight="1" x14ac:dyDescent="0.2">
      <c r="A188" s="81"/>
      <c r="B188" s="81"/>
      <c r="C188" s="83" t="s">
        <v>94</v>
      </c>
      <c r="D188" s="84">
        <v>45061</v>
      </c>
      <c r="E188" s="86">
        <v>5.6250000000000001E-2</v>
      </c>
      <c r="F188" s="86">
        <v>5.8437500000000003E-2</v>
      </c>
      <c r="G188" s="86">
        <v>5.9094099999999997E-2</v>
      </c>
      <c r="H188" s="86">
        <v>6.0312499999999998E-2</v>
      </c>
      <c r="I188" s="86">
        <v>5.8437500000000003E-2</v>
      </c>
      <c r="J188" s="86">
        <v>5.8699099999999997E-2</v>
      </c>
      <c r="K188" s="86">
        <v>5.8749999999999997E-2</v>
      </c>
      <c r="L188" s="88"/>
      <c r="M188" s="88">
        <v>3366000</v>
      </c>
      <c r="N188" s="88">
        <v>3366000</v>
      </c>
      <c r="O188" s="88">
        <v>1600000</v>
      </c>
      <c r="P188" s="89">
        <f t="shared" si="11"/>
        <v>2.1037499999999998</v>
      </c>
      <c r="Q188" s="90">
        <v>5.91E-2</v>
      </c>
      <c r="R188" s="54">
        <v>0</v>
      </c>
      <c r="S188" s="55">
        <v>0</v>
      </c>
      <c r="T188" s="55"/>
    </row>
    <row r="189" spans="1:20" ht="13.5" customHeight="1" x14ac:dyDescent="0.2">
      <c r="A189" s="81"/>
      <c r="B189" s="81"/>
      <c r="C189" s="83" t="s">
        <v>95</v>
      </c>
      <c r="D189" s="84">
        <v>46888</v>
      </c>
      <c r="E189" s="86">
        <v>6.1249999999999999E-2</v>
      </c>
      <c r="F189" s="86">
        <v>6.21875E-2</v>
      </c>
      <c r="G189" s="86">
        <v>6.3306899999999999E-2</v>
      </c>
      <c r="H189" s="86">
        <v>6.5312499999999996E-2</v>
      </c>
      <c r="I189" s="86">
        <v>6.21875E-2</v>
      </c>
      <c r="J189" s="86">
        <v>6.2998399999999996E-2</v>
      </c>
      <c r="K189" s="86">
        <v>6.3125000000000001E-2</v>
      </c>
      <c r="L189" s="88"/>
      <c r="M189" s="88">
        <v>2547500</v>
      </c>
      <c r="N189" s="88">
        <v>1500000</v>
      </c>
      <c r="O189" s="88">
        <v>1500000</v>
      </c>
      <c r="P189" s="89">
        <f t="shared" si="11"/>
        <v>1.6983333333333333</v>
      </c>
      <c r="Q189" s="90">
        <v>6.3E-2</v>
      </c>
      <c r="R189" s="54">
        <v>0</v>
      </c>
      <c r="S189" s="55">
        <v>0</v>
      </c>
      <c r="T189" s="55"/>
    </row>
    <row r="190" spans="1:20" ht="13.5" customHeight="1" x14ac:dyDescent="0.2">
      <c r="A190" s="81"/>
      <c r="B190" s="81"/>
      <c r="C190" s="83" t="s">
        <v>98</v>
      </c>
      <c r="D190" s="84">
        <v>48714</v>
      </c>
      <c r="E190" s="86">
        <v>6.6250000000000003E-2</v>
      </c>
      <c r="F190" s="86">
        <v>6.5312499999999996E-2</v>
      </c>
      <c r="G190" s="86">
        <v>6.6240099999999996E-2</v>
      </c>
      <c r="H190" s="86">
        <v>6.8125000000000005E-2</v>
      </c>
      <c r="I190" s="86">
        <v>6.5312499999999996E-2</v>
      </c>
      <c r="J190" s="86">
        <v>6.5821299999999999E-2</v>
      </c>
      <c r="K190" s="86">
        <v>6.5937499999999996E-2</v>
      </c>
      <c r="L190" s="88"/>
      <c r="M190" s="88">
        <v>6752400</v>
      </c>
      <c r="N190" s="88">
        <v>6752400</v>
      </c>
      <c r="O190" s="88">
        <v>2400000</v>
      </c>
      <c r="P190" s="89">
        <f t="shared" si="11"/>
        <v>2.8134999999999999</v>
      </c>
      <c r="Q190" s="90">
        <v>6.6299999999999998E-2</v>
      </c>
      <c r="R190" s="54">
        <v>1.9887751488813776E-3</v>
      </c>
      <c r="S190" s="55">
        <v>29293528.561597757</v>
      </c>
      <c r="T190" s="55"/>
    </row>
    <row r="191" spans="1:20" ht="13.5" customHeight="1" x14ac:dyDescent="0.2">
      <c r="A191" s="68">
        <v>41190</v>
      </c>
      <c r="B191" s="68">
        <f>A191+2</f>
        <v>41192</v>
      </c>
      <c r="C191" s="17" t="s">
        <v>107</v>
      </c>
      <c r="D191" s="18">
        <v>42292</v>
      </c>
      <c r="E191" s="62">
        <v>6.25E-2</v>
      </c>
      <c r="F191" s="72"/>
      <c r="G191" s="72"/>
      <c r="H191" s="72"/>
      <c r="I191" s="72"/>
      <c r="J191" s="62">
        <v>6.25E-2</v>
      </c>
      <c r="K191" s="62"/>
      <c r="L191" s="74">
        <v>12000000</v>
      </c>
      <c r="M191" s="74">
        <v>12765145</v>
      </c>
      <c r="N191" s="74">
        <v>12676745</v>
      </c>
      <c r="O191" s="74">
        <v>12676745</v>
      </c>
      <c r="P191" s="64">
        <f t="shared" si="11"/>
        <v>1.0069733989285103</v>
      </c>
      <c r="Q191" s="145"/>
      <c r="R191" s="100"/>
      <c r="S191" s="55">
        <f>O191*J191/$R$10</f>
        <v>811881715.17901385</v>
      </c>
      <c r="T191" s="55"/>
    </row>
    <row r="192" spans="1:20" ht="13.5" customHeight="1" x14ac:dyDescent="0.2">
      <c r="A192" s="112">
        <v>41198</v>
      </c>
      <c r="B192" s="112">
        <v>41200</v>
      </c>
      <c r="C192" s="113" t="s">
        <v>109</v>
      </c>
      <c r="D192" s="114">
        <v>41381</v>
      </c>
      <c r="E192" s="86"/>
      <c r="F192" s="116">
        <v>4.7500000000000001E-2</v>
      </c>
      <c r="G192" s="116"/>
      <c r="H192" s="116">
        <v>5.5E-2</v>
      </c>
      <c r="I192" s="116">
        <v>4.7500000000000001E-2</v>
      </c>
      <c r="J192" s="86">
        <v>4.7500000000000001E-2</v>
      </c>
      <c r="K192" s="86"/>
      <c r="L192" s="118">
        <v>1000000</v>
      </c>
      <c r="M192" s="118">
        <v>226000</v>
      </c>
      <c r="N192" s="118"/>
      <c r="O192" s="118">
        <v>105000</v>
      </c>
      <c r="P192" s="89">
        <f t="shared" si="11"/>
        <v>2.1523809523809523</v>
      </c>
      <c r="Q192" s="120"/>
      <c r="R192" s="54"/>
      <c r="S192" s="55">
        <f>O192*J192/$R$10</f>
        <v>5110788.3665156402</v>
      </c>
      <c r="T192" s="55"/>
    </row>
    <row r="193" spans="1:20" ht="13.5" customHeight="1" x14ac:dyDescent="0.2">
      <c r="A193" s="81"/>
      <c r="B193" s="81"/>
      <c r="C193" s="83" t="s">
        <v>48</v>
      </c>
      <c r="D193" s="84">
        <v>43146</v>
      </c>
      <c r="E193" s="86">
        <v>4.4499999999999998E-2</v>
      </c>
      <c r="F193" s="86">
        <v>5.9374999999999997E-2</v>
      </c>
      <c r="G193" s="86"/>
      <c r="H193" s="86">
        <v>6.5000000000000002E-2</v>
      </c>
      <c r="I193" s="86"/>
      <c r="J193" s="86"/>
      <c r="K193" s="86"/>
      <c r="L193" s="88"/>
      <c r="M193" s="88">
        <v>1256000</v>
      </c>
      <c r="N193" s="88"/>
      <c r="O193" s="88"/>
      <c r="P193" s="89"/>
      <c r="Q193" s="90"/>
      <c r="R193" s="54"/>
      <c r="S193" s="55"/>
      <c r="T193" s="55"/>
    </row>
    <row r="194" spans="1:20" ht="13.5" customHeight="1" x14ac:dyDescent="0.2">
      <c r="A194" s="81"/>
      <c r="B194" s="81"/>
      <c r="C194" s="83" t="s">
        <v>49</v>
      </c>
      <c r="D194" s="84">
        <v>44576</v>
      </c>
      <c r="E194" s="86">
        <v>5.45E-2</v>
      </c>
      <c r="F194" s="86">
        <v>6.1562499999999999E-2</v>
      </c>
      <c r="G194" s="86"/>
      <c r="H194" s="86">
        <v>7.0000000000000007E-2</v>
      </c>
      <c r="I194" s="86"/>
      <c r="J194" s="86"/>
      <c r="K194" s="86"/>
      <c r="L194" s="88"/>
      <c r="M194" s="88">
        <v>193000</v>
      </c>
      <c r="N194" s="88"/>
      <c r="O194" s="88"/>
      <c r="P194" s="89"/>
      <c r="Q194" s="90"/>
      <c r="R194" s="54"/>
      <c r="S194" s="55"/>
      <c r="T194" s="55"/>
    </row>
    <row r="195" spans="1:20" ht="13.5" customHeight="1" x14ac:dyDescent="0.2">
      <c r="A195" s="81"/>
      <c r="B195" s="81"/>
      <c r="C195" s="83" t="s">
        <v>50</v>
      </c>
      <c r="D195" s="84">
        <v>46402</v>
      </c>
      <c r="E195" s="86">
        <v>0.06</v>
      </c>
      <c r="F195" s="86">
        <v>6.5625000000000003E-2</v>
      </c>
      <c r="G195" s="86"/>
      <c r="H195" s="86">
        <v>7.2499999999999995E-2</v>
      </c>
      <c r="I195" s="86"/>
      <c r="J195" s="86"/>
      <c r="K195" s="86"/>
      <c r="L195" s="88"/>
      <c r="M195" s="88">
        <v>205000</v>
      </c>
      <c r="N195" s="88"/>
      <c r="O195" s="88"/>
      <c r="P195" s="89"/>
      <c r="Q195" s="90"/>
      <c r="R195" s="54" t="e">
        <f>O195*J195/$O$43</f>
        <v>#DIV/0!</v>
      </c>
      <c r="S195" s="55">
        <f>O195*J195/$R$10</f>
        <v>0</v>
      </c>
      <c r="T195" s="55"/>
    </row>
    <row r="196" spans="1:20" ht="13.5" customHeight="1" x14ac:dyDescent="0.2">
      <c r="A196" s="81"/>
      <c r="B196" s="81"/>
      <c r="C196" s="83" t="s">
        <v>53</v>
      </c>
      <c r="D196" s="84">
        <v>50086</v>
      </c>
      <c r="E196" s="86">
        <v>6.0999999999999999E-2</v>
      </c>
      <c r="F196" s="86">
        <v>6.7187499999999997E-2</v>
      </c>
      <c r="G196" s="86"/>
      <c r="H196" s="86">
        <v>7.4999999999999997E-2</v>
      </c>
      <c r="I196" s="86">
        <v>6.7187499999999997E-2</v>
      </c>
      <c r="J196" s="86">
        <v>6.8368899999999996E-2</v>
      </c>
      <c r="K196" s="86"/>
      <c r="L196" s="88"/>
      <c r="M196" s="88">
        <v>261000</v>
      </c>
      <c r="N196" s="88"/>
      <c r="O196" s="88">
        <v>260000</v>
      </c>
      <c r="P196" s="89">
        <f t="shared" ref="P196:P202" si="12">M196/O196</f>
        <v>1.0038461538461538</v>
      </c>
      <c r="Q196" s="90"/>
      <c r="R196" s="54" t="e">
        <f>O196*J196/$O$43</f>
        <v>#DIV/0!</v>
      </c>
      <c r="S196" s="55">
        <f>O196*J196/$R$10</f>
        <v>18215325.208096739</v>
      </c>
      <c r="T196" s="55"/>
    </row>
    <row r="197" spans="1:20" ht="13.5" customHeight="1" x14ac:dyDescent="0.2">
      <c r="A197" s="68">
        <v>41205</v>
      </c>
      <c r="B197" s="68">
        <v>41207</v>
      </c>
      <c r="C197" s="17" t="s">
        <v>106</v>
      </c>
      <c r="D197" s="18">
        <v>41554</v>
      </c>
      <c r="E197" s="62"/>
      <c r="F197" s="62">
        <v>4.4687499999999998E-2</v>
      </c>
      <c r="G197" s="62">
        <v>4.72273E-2</v>
      </c>
      <c r="H197" s="62">
        <v>4.8125000000000001E-2</v>
      </c>
      <c r="I197" s="62">
        <v>4.4687499999999998E-2</v>
      </c>
      <c r="J197" s="62">
        <v>4.5656299999999997E-2</v>
      </c>
      <c r="K197" s="62">
        <v>4.6875E-2</v>
      </c>
      <c r="L197" s="63">
        <v>6000000</v>
      </c>
      <c r="M197" s="63">
        <v>1510000</v>
      </c>
      <c r="N197" s="63">
        <v>200000</v>
      </c>
      <c r="O197" s="63">
        <v>200000</v>
      </c>
      <c r="P197" s="64">
        <f t="shared" si="12"/>
        <v>7.55</v>
      </c>
      <c r="Q197" s="100">
        <v>4.5999999999999999E-2</v>
      </c>
      <c r="R197" s="100"/>
      <c r="S197" s="55"/>
      <c r="T197" s="55"/>
    </row>
    <row r="198" spans="1:20" ht="13.5" customHeight="1" x14ac:dyDescent="0.2">
      <c r="A198" s="58"/>
      <c r="B198" s="58"/>
      <c r="C198" s="17" t="s">
        <v>110</v>
      </c>
      <c r="D198" s="18">
        <v>45061</v>
      </c>
      <c r="E198" s="62">
        <v>5.6250000000000001E-2</v>
      </c>
      <c r="F198" s="62">
        <v>5.1874999999999998E-2</v>
      </c>
      <c r="G198" s="62">
        <v>5.44795E-2</v>
      </c>
      <c r="H198" s="62">
        <v>5.6562500000000002E-2</v>
      </c>
      <c r="I198" s="62">
        <v>5.1874999999999998E-2</v>
      </c>
      <c r="J198" s="62">
        <v>5.3864299999999997E-2</v>
      </c>
      <c r="K198" s="62">
        <v>5.46875E-2</v>
      </c>
      <c r="L198" s="63"/>
      <c r="M198" s="63">
        <v>4306000</v>
      </c>
      <c r="N198" s="63">
        <v>3100000</v>
      </c>
      <c r="O198" s="63">
        <v>2550000</v>
      </c>
      <c r="P198" s="64">
        <f t="shared" si="12"/>
        <v>1.6886274509803922</v>
      </c>
      <c r="Q198" s="100">
        <v>5.4100000000000002E-2</v>
      </c>
      <c r="R198" s="100">
        <v>0</v>
      </c>
      <c r="S198" s="55">
        <v>0</v>
      </c>
      <c r="T198" s="55"/>
    </row>
    <row r="199" spans="1:20" ht="13.5" customHeight="1" x14ac:dyDescent="0.2">
      <c r="A199" s="58"/>
      <c r="B199" s="58"/>
      <c r="C199" s="17" t="s">
        <v>94</v>
      </c>
      <c r="D199" s="18">
        <v>45061</v>
      </c>
      <c r="E199" s="62">
        <v>5.6250000000000001E-2</v>
      </c>
      <c r="F199" s="62">
        <v>5.5625000000000001E-2</v>
      </c>
      <c r="G199" s="62">
        <v>5.7547000000000001E-2</v>
      </c>
      <c r="H199" s="62">
        <v>5.8749999999999997E-2</v>
      </c>
      <c r="I199" s="62">
        <v>5.5625000000000001E-2</v>
      </c>
      <c r="J199" s="62">
        <v>5.7285700000000002E-2</v>
      </c>
      <c r="K199" s="62">
        <v>5.7500000000000002E-2</v>
      </c>
      <c r="L199" s="63"/>
      <c r="M199" s="63">
        <v>4917000</v>
      </c>
      <c r="N199" s="63">
        <v>3300000</v>
      </c>
      <c r="O199" s="63">
        <v>3250000</v>
      </c>
      <c r="P199" s="64">
        <f t="shared" si="12"/>
        <v>1.5129230769230768</v>
      </c>
      <c r="Q199" s="100">
        <v>5.7299999999999997E-2</v>
      </c>
      <c r="R199" s="100">
        <v>0</v>
      </c>
      <c r="S199" s="55">
        <v>0</v>
      </c>
      <c r="T199" s="55"/>
    </row>
    <row r="200" spans="1:20" ht="13.5" customHeight="1" x14ac:dyDescent="0.2">
      <c r="A200" s="58"/>
      <c r="B200" s="58"/>
      <c r="C200" s="17" t="s">
        <v>98</v>
      </c>
      <c r="D200" s="18">
        <v>48714</v>
      </c>
      <c r="E200" s="62">
        <v>6.6250000000000003E-2</v>
      </c>
      <c r="F200" s="62">
        <v>6.4687499999999995E-2</v>
      </c>
      <c r="G200" s="62">
        <v>6.5432900000000002E-2</v>
      </c>
      <c r="H200" s="62">
        <v>6.7500000000000004E-2</v>
      </c>
      <c r="I200" s="62">
        <v>6.4687499999999995E-2</v>
      </c>
      <c r="J200" s="62">
        <v>6.5143599999999996E-2</v>
      </c>
      <c r="K200" s="62">
        <v>6.5312499999999996E-2</v>
      </c>
      <c r="L200" s="63"/>
      <c r="M200" s="63">
        <v>7234000</v>
      </c>
      <c r="N200" s="63">
        <v>7234000</v>
      </c>
      <c r="O200" s="63">
        <v>3000000</v>
      </c>
      <c r="P200" s="64">
        <f t="shared" si="12"/>
        <v>2.4113333333333333</v>
      </c>
      <c r="Q200" s="100">
        <v>6.5500000000000003E-2</v>
      </c>
      <c r="R200" s="100">
        <v>1.9887751488813776E-3</v>
      </c>
      <c r="S200" s="55">
        <v>29293528.561597757</v>
      </c>
      <c r="T200" s="55"/>
    </row>
    <row r="201" spans="1:20" ht="13.5" customHeight="1" x14ac:dyDescent="0.2">
      <c r="A201" s="112">
        <v>41212</v>
      </c>
      <c r="B201" s="112">
        <v>41214</v>
      </c>
      <c r="C201" s="113" t="s">
        <v>111</v>
      </c>
      <c r="D201" s="114">
        <v>41394</v>
      </c>
      <c r="E201" s="86"/>
      <c r="F201" s="116">
        <v>4.7812500000000001E-2</v>
      </c>
      <c r="G201" s="116"/>
      <c r="H201" s="116">
        <v>5.5E-2</v>
      </c>
      <c r="I201" s="116"/>
      <c r="J201" s="86"/>
      <c r="K201" s="86"/>
      <c r="L201" s="118">
        <v>1000000</v>
      </c>
      <c r="M201" s="118">
        <v>921000</v>
      </c>
      <c r="N201" s="118"/>
      <c r="O201" s="118"/>
      <c r="P201" s="89"/>
      <c r="Q201" s="120"/>
      <c r="R201" s="54"/>
      <c r="S201" s="55">
        <f>O201*J201/$R$10</f>
        <v>0</v>
      </c>
      <c r="T201" s="55"/>
    </row>
    <row r="202" spans="1:20" ht="13.5" customHeight="1" x14ac:dyDescent="0.2">
      <c r="A202" s="81"/>
      <c r="B202" s="81"/>
      <c r="C202" s="83" t="s">
        <v>48</v>
      </c>
      <c r="D202" s="84">
        <v>43146</v>
      </c>
      <c r="E202" s="86">
        <v>4.4499999999999998E-2</v>
      </c>
      <c r="F202" s="86">
        <v>5.9687499999999998E-2</v>
      </c>
      <c r="G202" s="86"/>
      <c r="H202" s="86">
        <v>6.25E-2</v>
      </c>
      <c r="I202" s="86"/>
      <c r="J202" s="86">
        <v>6.0100000000000001E-2</v>
      </c>
      <c r="K202" s="86"/>
      <c r="L202" s="88"/>
      <c r="M202" s="88">
        <v>1286000</v>
      </c>
      <c r="N202" s="88"/>
      <c r="O202" s="88">
        <v>640000</v>
      </c>
      <c r="P202" s="89">
        <f t="shared" si="12"/>
        <v>2.0093749999999999</v>
      </c>
      <c r="Q202" s="90"/>
      <c r="R202" s="54"/>
      <c r="S202" s="55"/>
      <c r="T202" s="55"/>
    </row>
    <row r="203" spans="1:20" ht="13.5" customHeight="1" x14ac:dyDescent="0.2">
      <c r="A203" s="81"/>
      <c r="B203" s="81"/>
      <c r="C203" s="83" t="s">
        <v>49</v>
      </c>
      <c r="D203" s="84">
        <v>44576</v>
      </c>
      <c r="E203" s="86">
        <v>5.45E-2</v>
      </c>
      <c r="F203" s="86">
        <v>6.1249999999999999E-2</v>
      </c>
      <c r="G203" s="86"/>
      <c r="H203" s="86">
        <v>6.7500000000000004E-2</v>
      </c>
      <c r="I203" s="86"/>
      <c r="J203" s="86"/>
      <c r="K203" s="86"/>
      <c r="L203" s="88"/>
      <c r="M203" s="88">
        <v>63000</v>
      </c>
      <c r="N203" s="88"/>
      <c r="O203" s="88"/>
      <c r="P203" s="89"/>
      <c r="Q203" s="90"/>
      <c r="R203" s="54"/>
      <c r="S203" s="55"/>
      <c r="T203" s="55"/>
    </row>
    <row r="204" spans="1:20" ht="13.5" customHeight="1" x14ac:dyDescent="0.2">
      <c r="A204" s="81"/>
      <c r="B204" s="81"/>
      <c r="C204" s="83" t="s">
        <v>50</v>
      </c>
      <c r="D204" s="84">
        <v>46402</v>
      </c>
      <c r="E204" s="86">
        <v>0.06</v>
      </c>
      <c r="F204" s="86">
        <v>6.5937499999999996E-2</v>
      </c>
      <c r="G204" s="86"/>
      <c r="H204" s="86">
        <v>7.0000000000000007E-2</v>
      </c>
      <c r="I204" s="86"/>
      <c r="J204" s="86"/>
      <c r="K204" s="86"/>
      <c r="L204" s="88"/>
      <c r="M204" s="88">
        <v>66000</v>
      </c>
      <c r="N204" s="88"/>
      <c r="O204" s="88"/>
      <c r="P204" s="89"/>
      <c r="Q204" s="90"/>
      <c r="R204" s="54" t="e">
        <f>O204*J204/$O$43</f>
        <v>#DIV/0!</v>
      </c>
      <c r="S204" s="55">
        <f>O204*J204/$R$10</f>
        <v>0</v>
      </c>
      <c r="T204" s="55"/>
    </row>
    <row r="205" spans="1:20" ht="13.5" customHeight="1" x14ac:dyDescent="0.2">
      <c r="A205" s="81"/>
      <c r="B205" s="81"/>
      <c r="C205" s="83" t="s">
        <v>53</v>
      </c>
      <c r="D205" s="84">
        <v>50086</v>
      </c>
      <c r="E205" s="86">
        <v>6.0999999999999999E-2</v>
      </c>
      <c r="F205" s="86">
        <v>6.7187499999999997E-2</v>
      </c>
      <c r="G205" s="86"/>
      <c r="H205" s="86">
        <v>7.4999999999999997E-2</v>
      </c>
      <c r="I205" s="86"/>
      <c r="J205" s="86">
        <v>6.8098500000000006E-2</v>
      </c>
      <c r="K205" s="86"/>
      <c r="L205" s="88"/>
      <c r="M205" s="88">
        <v>317000</v>
      </c>
      <c r="N205" s="88"/>
      <c r="O205" s="88">
        <v>273000</v>
      </c>
      <c r="P205" s="89">
        <f t="shared" ref="P205:P210" si="13">M205/O205</f>
        <v>1.1611721611721613</v>
      </c>
      <c r="Q205" s="90"/>
      <c r="R205" s="54" t="e">
        <f>O205*J205/$O$43</f>
        <v>#DIV/0!</v>
      </c>
      <c r="S205" s="55">
        <f>O205*J205/$R$10</f>
        <v>19050447.496855363</v>
      </c>
      <c r="T205" s="55"/>
    </row>
    <row r="206" spans="1:20" ht="13.5" customHeight="1" x14ac:dyDescent="0.2">
      <c r="A206" s="68">
        <v>41225</v>
      </c>
      <c r="B206" s="68">
        <v>41227</v>
      </c>
      <c r="C206" s="69" t="s">
        <v>112</v>
      </c>
      <c r="D206" s="70">
        <v>41318</v>
      </c>
      <c r="E206" s="72"/>
      <c r="F206" s="72">
        <v>3.6874999999999998E-2</v>
      </c>
      <c r="G206" s="72">
        <v>3.9922800000000001E-2</v>
      </c>
      <c r="H206" s="72">
        <v>4.2812500000000003E-2</v>
      </c>
      <c r="I206" s="72">
        <v>3.6874999999999998E-2</v>
      </c>
      <c r="J206" s="72">
        <v>3.7249999999999998E-2</v>
      </c>
      <c r="K206" s="72">
        <v>3.7812499999999999E-2</v>
      </c>
      <c r="L206" s="74">
        <v>5000000</v>
      </c>
      <c r="M206" s="74">
        <v>4050000</v>
      </c>
      <c r="N206" s="74">
        <v>1800000</v>
      </c>
      <c r="O206" s="74">
        <v>1000000</v>
      </c>
      <c r="P206" s="76">
        <f t="shared" si="13"/>
        <v>4.05</v>
      </c>
      <c r="Q206" s="145">
        <v>3.7999999999999999E-2</v>
      </c>
      <c r="R206" s="54"/>
      <c r="S206" s="55">
        <f>O206*J206/$R$10</f>
        <v>38170800.331369944</v>
      </c>
      <c r="T206" s="55"/>
    </row>
    <row r="207" spans="1:20" ht="13.5" customHeight="1" x14ac:dyDescent="0.2">
      <c r="A207" s="58"/>
      <c r="B207" s="58"/>
      <c r="C207" s="69" t="s">
        <v>113</v>
      </c>
      <c r="D207" s="18">
        <v>41591</v>
      </c>
      <c r="E207" s="62"/>
      <c r="F207" s="62">
        <v>4.5312499999999999E-2</v>
      </c>
      <c r="G207" s="62">
        <v>4.6971600000000002E-2</v>
      </c>
      <c r="H207" s="62">
        <v>0.05</v>
      </c>
      <c r="I207" s="62">
        <v>4.5312499999999999E-2</v>
      </c>
      <c r="J207" s="62">
        <v>4.6112500000000001E-2</v>
      </c>
      <c r="K207" s="62">
        <v>4.65625E-2</v>
      </c>
      <c r="L207" s="63"/>
      <c r="M207" s="63">
        <v>2561000</v>
      </c>
      <c r="N207" s="63">
        <v>1400000</v>
      </c>
      <c r="O207" s="63">
        <v>1000000</v>
      </c>
      <c r="P207" s="64">
        <f t="shared" si="13"/>
        <v>2.5609999999999999</v>
      </c>
      <c r="Q207" s="100">
        <v>4.65E-2</v>
      </c>
      <c r="R207" s="54"/>
      <c r="S207" s="55"/>
      <c r="T207" s="55"/>
    </row>
    <row r="208" spans="1:20" ht="13.5" customHeight="1" x14ac:dyDescent="0.2">
      <c r="A208" s="58"/>
      <c r="B208" s="58"/>
      <c r="C208" s="17" t="s">
        <v>110</v>
      </c>
      <c r="D208" s="18">
        <v>43235</v>
      </c>
      <c r="E208" s="62">
        <v>5.2499999999999998E-2</v>
      </c>
      <c r="F208" s="62">
        <v>5.0625000000000003E-2</v>
      </c>
      <c r="G208" s="62">
        <v>5.2170300000000003E-2</v>
      </c>
      <c r="H208" s="62">
        <v>5.4375E-2</v>
      </c>
      <c r="I208" s="62">
        <v>5.0625000000000003E-2</v>
      </c>
      <c r="J208" s="62">
        <v>5.16205E-2</v>
      </c>
      <c r="K208" s="62">
        <v>5.1874999999999998E-2</v>
      </c>
      <c r="L208" s="63"/>
      <c r="M208" s="63">
        <v>5177000</v>
      </c>
      <c r="N208" s="63">
        <v>4600000</v>
      </c>
      <c r="O208" s="63">
        <v>2500000</v>
      </c>
      <c r="P208" s="64">
        <f t="shared" si="13"/>
        <v>2.0708000000000002</v>
      </c>
      <c r="Q208" s="100">
        <v>5.1999999999999998E-2</v>
      </c>
      <c r="R208" s="54">
        <v>0</v>
      </c>
      <c r="S208" s="55">
        <v>0</v>
      </c>
      <c r="T208" s="55"/>
    </row>
    <row r="209" spans="1:20" ht="13.5" customHeight="1" x14ac:dyDescent="0.2">
      <c r="A209" s="58"/>
      <c r="B209" s="58"/>
      <c r="C209" s="17" t="s">
        <v>95</v>
      </c>
      <c r="D209" s="18">
        <v>46888</v>
      </c>
      <c r="E209" s="62">
        <v>6.1249999999999999E-2</v>
      </c>
      <c r="F209" s="62">
        <v>5.9687499999999998E-2</v>
      </c>
      <c r="G209" s="62">
        <v>6.0501899999999997E-2</v>
      </c>
      <c r="H209" s="62">
        <v>6.3750000000000001E-2</v>
      </c>
      <c r="I209" s="62">
        <v>5.9687499999999998E-2</v>
      </c>
      <c r="J209" s="62">
        <v>5.9989399999999998E-2</v>
      </c>
      <c r="K209" s="62">
        <v>0.06</v>
      </c>
      <c r="L209" s="63"/>
      <c r="M209" s="63">
        <v>9340000</v>
      </c>
      <c r="N209" s="63">
        <v>9300000</v>
      </c>
      <c r="O209" s="63">
        <v>1850000</v>
      </c>
      <c r="P209" s="64">
        <f t="shared" si="13"/>
        <v>5.0486486486486486</v>
      </c>
      <c r="Q209" s="100">
        <v>6.0499999999999998E-2</v>
      </c>
      <c r="R209" s="54">
        <v>0</v>
      </c>
      <c r="S209" s="55">
        <v>0</v>
      </c>
      <c r="T209" s="55"/>
    </row>
    <row r="210" spans="1:20" ht="13.5" customHeight="1" x14ac:dyDescent="0.2">
      <c r="A210" s="151"/>
      <c r="B210" s="151"/>
      <c r="C210" s="146" t="s">
        <v>98</v>
      </c>
      <c r="D210" s="147">
        <v>48714</v>
      </c>
      <c r="E210" s="148">
        <v>6.6250000000000003E-2</v>
      </c>
      <c r="F210" s="148">
        <v>6.2812499999999993E-2</v>
      </c>
      <c r="G210" s="148">
        <v>6.3654799999999997E-2</v>
      </c>
      <c r="H210" s="148">
        <v>6.4375000000000002E-2</v>
      </c>
      <c r="I210" s="148">
        <v>6.2812499999999993E-2</v>
      </c>
      <c r="J210" s="148">
        <v>6.3262200000000005E-2</v>
      </c>
      <c r="K210" s="148">
        <v>6.3437499999999994E-2</v>
      </c>
      <c r="L210" s="149"/>
      <c r="M210" s="149">
        <v>7812000</v>
      </c>
      <c r="N210" s="149">
        <v>7150000</v>
      </c>
      <c r="O210" s="149">
        <v>1150000</v>
      </c>
      <c r="P210" s="64">
        <f t="shared" si="13"/>
        <v>6.79304347826087</v>
      </c>
      <c r="Q210" s="150">
        <v>6.3600000000000004E-2</v>
      </c>
      <c r="R210" s="54">
        <v>1.9887751488813776E-3</v>
      </c>
      <c r="S210" s="55">
        <v>29293528.561597757</v>
      </c>
      <c r="T210" s="55"/>
    </row>
    <row r="211" spans="1:20" ht="13.5" customHeight="1" x14ac:dyDescent="0.2">
      <c r="A211" s="112">
        <v>41219</v>
      </c>
      <c r="B211" s="112">
        <v>41235</v>
      </c>
      <c r="C211" s="83" t="s">
        <v>114</v>
      </c>
      <c r="D211" s="84">
        <v>44887</v>
      </c>
      <c r="E211" s="86">
        <v>1.1299999999999999E-2</v>
      </c>
      <c r="F211" s="86"/>
      <c r="G211" s="86"/>
      <c r="H211" s="86"/>
      <c r="I211" s="86"/>
      <c r="J211" s="86"/>
      <c r="K211" s="86"/>
      <c r="L211" s="88">
        <v>7000000</v>
      </c>
      <c r="M211" s="153" t="s">
        <v>115</v>
      </c>
      <c r="N211" s="153" t="s">
        <v>115</v>
      </c>
      <c r="O211" s="153" t="s">
        <v>115</v>
      </c>
      <c r="P211" s="89"/>
      <c r="Q211" s="90">
        <v>4.5999999999999999E-2</v>
      </c>
      <c r="R211" s="54"/>
      <c r="S211" s="55"/>
      <c r="T211" s="55">
        <v>60000</v>
      </c>
    </row>
    <row r="212" spans="1:20" ht="13.5" customHeight="1" x14ac:dyDescent="0.2">
      <c r="A212" s="81"/>
      <c r="B212" s="91"/>
      <c r="C212" s="83"/>
      <c r="D212" s="84"/>
      <c r="E212" s="86"/>
      <c r="F212" s="86"/>
      <c r="G212" s="86"/>
      <c r="H212" s="86"/>
      <c r="I212" s="86"/>
      <c r="J212" s="86"/>
      <c r="K212" s="86"/>
      <c r="L212" s="88"/>
      <c r="M212" s="88">
        <f>$T$211*$T$212</f>
        <v>7012308</v>
      </c>
      <c r="N212" s="88">
        <f>$T$211*$T$212</f>
        <v>7012308</v>
      </c>
      <c r="O212" s="88">
        <f>$T$211*$T$212</f>
        <v>7012308</v>
      </c>
      <c r="P212" s="89"/>
      <c r="Q212" s="90"/>
      <c r="R212" s="54"/>
      <c r="S212" s="55"/>
      <c r="T212" s="55">
        <v>116.87179999999999</v>
      </c>
    </row>
    <row r="213" spans="1:20" ht="13.5" customHeight="1" x14ac:dyDescent="0.2">
      <c r="A213" s="68">
        <v>41227</v>
      </c>
      <c r="B213" s="68">
        <v>41234</v>
      </c>
      <c r="C213" s="17" t="s">
        <v>116</v>
      </c>
      <c r="D213" s="18">
        <v>44886</v>
      </c>
      <c r="E213" s="62">
        <v>3.3000000000000002E-2</v>
      </c>
      <c r="F213" s="62"/>
      <c r="G213" s="62"/>
      <c r="H213" s="62"/>
      <c r="I213" s="62"/>
      <c r="J213" s="62"/>
      <c r="K213" s="62"/>
      <c r="L213" s="63">
        <v>9000000</v>
      </c>
      <c r="M213" s="140" t="s">
        <v>117</v>
      </c>
      <c r="N213" s="140" t="s">
        <v>117</v>
      </c>
      <c r="O213" s="140" t="s">
        <v>117</v>
      </c>
      <c r="P213" s="64"/>
      <c r="Q213" s="100">
        <v>4.5999999999999999E-2</v>
      </c>
      <c r="R213" s="100"/>
      <c r="S213" s="55"/>
      <c r="T213" s="55">
        <v>1000</v>
      </c>
    </row>
    <row r="214" spans="1:20" ht="13.5" customHeight="1" x14ac:dyDescent="0.2">
      <c r="A214" s="58"/>
      <c r="B214" s="80"/>
      <c r="C214" s="17"/>
      <c r="D214" s="18"/>
      <c r="E214" s="62"/>
      <c r="F214" s="62"/>
      <c r="G214" s="62"/>
      <c r="H214" s="62"/>
      <c r="I214" s="62"/>
      <c r="J214" s="62"/>
      <c r="K214" s="62"/>
      <c r="L214" s="63"/>
      <c r="M214" s="63">
        <f>$T$213*$T$214</f>
        <v>9639000</v>
      </c>
      <c r="N214" s="63">
        <f>$T$213*$T$214</f>
        <v>9639000</v>
      </c>
      <c r="O214" s="63">
        <f>$T$213*$T$214</f>
        <v>9639000</v>
      </c>
      <c r="P214" s="64"/>
      <c r="Q214" s="100"/>
      <c r="R214" s="100"/>
      <c r="S214" s="55"/>
      <c r="T214" s="55">
        <v>9639</v>
      </c>
    </row>
    <row r="215" spans="1:20" ht="13.5" customHeight="1" x14ac:dyDescent="0.2">
      <c r="A215" s="112">
        <v>41246</v>
      </c>
      <c r="B215" s="112">
        <v>41248</v>
      </c>
      <c r="C215" s="83" t="s">
        <v>118</v>
      </c>
      <c r="D215" s="84">
        <v>41337</v>
      </c>
      <c r="E215" s="86"/>
      <c r="F215" s="86">
        <v>1.90625E-2</v>
      </c>
      <c r="G215" s="86">
        <v>3.3067300000000001E-2</v>
      </c>
      <c r="H215" s="86">
        <v>0.05</v>
      </c>
      <c r="I215" s="86">
        <v>1.90625E-2</v>
      </c>
      <c r="J215" s="86">
        <v>1.9508899999999999E-2</v>
      </c>
      <c r="K215" s="86">
        <v>0.02</v>
      </c>
      <c r="L215" s="88">
        <v>1000000</v>
      </c>
      <c r="M215" s="153">
        <v>5236000</v>
      </c>
      <c r="N215" s="153">
        <v>5236000</v>
      </c>
      <c r="O215" s="153">
        <v>700000</v>
      </c>
      <c r="P215" s="89">
        <f>M215/O215</f>
        <v>7.48</v>
      </c>
      <c r="Q215" s="90">
        <v>3.5000000000000003E-2</v>
      </c>
      <c r="R215" s="54"/>
      <c r="S215" s="55">
        <f>O215*J215/$R$10</f>
        <v>13993804.794879572</v>
      </c>
      <c r="T215" s="55"/>
    </row>
    <row r="216" spans="1:20" ht="13.5" customHeight="1" x14ac:dyDescent="0.2">
      <c r="A216" s="81"/>
      <c r="B216" s="91"/>
      <c r="C216" s="83" t="s">
        <v>119</v>
      </c>
      <c r="D216" s="84">
        <v>41612</v>
      </c>
      <c r="E216" s="86"/>
      <c r="F216" s="86">
        <v>4.2187500000000003E-2</v>
      </c>
      <c r="G216" s="86">
        <v>4.54952E-2</v>
      </c>
      <c r="H216" s="86">
        <v>7.0000000000000007E-2</v>
      </c>
      <c r="I216" s="86">
        <v>4.2187500000000003E-2</v>
      </c>
      <c r="J216" s="86">
        <v>4.2187500000000003E-2</v>
      </c>
      <c r="K216" s="86">
        <v>4.2187500000000003E-2</v>
      </c>
      <c r="L216" s="88"/>
      <c r="M216" s="88">
        <v>3917000</v>
      </c>
      <c r="N216" s="88">
        <v>1300000</v>
      </c>
      <c r="O216" s="88">
        <v>500000</v>
      </c>
      <c r="P216" s="89">
        <f>M216/O216</f>
        <v>7.8339999999999996</v>
      </c>
      <c r="Q216" s="90">
        <v>4.41E-2</v>
      </c>
      <c r="R216" s="54"/>
      <c r="S216" s="55"/>
      <c r="T216" s="55"/>
    </row>
    <row r="217" spans="1:20" ht="13.5" customHeight="1" x14ac:dyDescent="0.25">
      <c r="A217" s="29" t="s">
        <v>17</v>
      </c>
      <c r="B217" s="30"/>
      <c r="C217" s="31"/>
      <c r="D217" s="32" t="s">
        <v>18</v>
      </c>
      <c r="E217" s="33"/>
      <c r="F217" s="33"/>
      <c r="G217" s="33"/>
      <c r="H217" s="33"/>
      <c r="I217" s="33"/>
      <c r="J217" s="34"/>
      <c r="K217" s="34"/>
      <c r="L217" s="35">
        <f>SUM(L6:L216)</f>
        <v>241130000</v>
      </c>
      <c r="M217" s="35">
        <f>SUM(M6:M216)</f>
        <v>650421058</v>
      </c>
      <c r="N217" s="35">
        <f>SUM(N6:N216)</f>
        <v>342523758</v>
      </c>
      <c r="O217" s="35">
        <f>SUM(O6:O216)</f>
        <v>268547858</v>
      </c>
      <c r="P217" s="36">
        <f>M217/O217</f>
        <v>2.4219930959196105</v>
      </c>
      <c r="Q217" s="37"/>
      <c r="R217" s="79">
        <f>SUM(R6:R12)</f>
        <v>1.6493557546826533E-3</v>
      </c>
    </row>
    <row r="218" spans="1:20" x14ac:dyDescent="0.2">
      <c r="M218" s="38">
        <f>M217</f>
        <v>650421058</v>
      </c>
      <c r="N218" s="38">
        <f>N217</f>
        <v>342523758</v>
      </c>
      <c r="O218" s="38">
        <f>O217</f>
        <v>268547858</v>
      </c>
      <c r="R218" s="56"/>
    </row>
    <row r="219" spans="1:20" ht="10.5" x14ac:dyDescent="0.25">
      <c r="A219" s="1" t="s">
        <v>31</v>
      </c>
      <c r="R219" s="38"/>
    </row>
    <row r="220" spans="1:20" ht="10.5" x14ac:dyDescent="0.25">
      <c r="A220" s="1"/>
      <c r="M220" s="38"/>
      <c r="N220" s="38"/>
      <c r="O220" s="38"/>
      <c r="Q220" s="35"/>
    </row>
    <row r="221" spans="1:20" ht="27" customHeight="1" x14ac:dyDescent="0.25">
      <c r="A221" s="57"/>
      <c r="E221" s="38"/>
      <c r="F221" s="38"/>
      <c r="G221" s="38"/>
      <c r="H221" s="38"/>
      <c r="I221" s="38"/>
      <c r="L221" s="39" t="s">
        <v>19</v>
      </c>
      <c r="M221" s="39" t="s">
        <v>12</v>
      </c>
      <c r="N221" s="39" t="s">
        <v>13</v>
      </c>
      <c r="O221" s="39" t="s">
        <v>14</v>
      </c>
      <c r="Q221" s="35"/>
    </row>
    <row r="222" spans="1:20" x14ac:dyDescent="0.2">
      <c r="E222" s="38"/>
      <c r="F222" s="38"/>
      <c r="G222" s="38"/>
      <c r="H222" s="38"/>
      <c r="I222" s="38"/>
      <c r="L222" s="45" t="s">
        <v>20</v>
      </c>
      <c r="M222" s="40">
        <f>SUM(M8:M10,M15:M17,M24:M26,M34:M36,M43:M45,M54:M56,M65:M67,M75:M77,M89:M91,M100:M102,M109:M111,M119:M121,M129:M131,M139:M141,M154:M156,M158:M161,M169:M171,M178:M180,M188:M190,M198:M200,M208:M210)</f>
        <v>298268400</v>
      </c>
      <c r="N222" s="40">
        <f>SUM(N8:N10,N15:N17,N24:N26,N34:N36,N43:N45,N54:N56,N65:N67,N75:N77,N89:N91,N100:N102,N109:N111,N119:N121,N129:N131,N139:N141,N154:N156,N158:N161,N169:N171,N178:N180,N188:N190,N198:N200,N208:N210)</f>
        <v>170290600</v>
      </c>
      <c r="O222" s="40">
        <f>SUM(O8:O10,O15:O17,O24:O26,O34:O36,O43:O45,O54:O56,O65:O67,O75:O77,O89:O91,O100:O102,O109:O111,O119:O121,O129:O131,O139:O141,O154:O156,O158:O161,O169:O171,O178:O180,O188:O190,O198:O200,O208:O210)</f>
        <v>122245000</v>
      </c>
      <c r="P222" s="41"/>
      <c r="Q222" s="94"/>
    </row>
    <row r="223" spans="1:20" x14ac:dyDescent="0.2">
      <c r="B223" s="38"/>
      <c r="C223" s="2" t="s">
        <v>18</v>
      </c>
      <c r="E223" s="38"/>
      <c r="F223" s="38"/>
      <c r="G223" s="38"/>
      <c r="H223" s="38"/>
      <c r="I223" s="38"/>
      <c r="L223" s="46" t="s">
        <v>21</v>
      </c>
      <c r="M223" s="47"/>
      <c r="N223" s="47"/>
      <c r="O223" s="47"/>
      <c r="S223" s="38"/>
    </row>
    <row r="224" spans="1:20" x14ac:dyDescent="0.2">
      <c r="B224" s="38"/>
      <c r="E224" s="38"/>
      <c r="F224" s="38"/>
      <c r="G224" s="38"/>
      <c r="H224" s="38"/>
      <c r="I224" s="38"/>
      <c r="L224" s="45" t="s">
        <v>22</v>
      </c>
      <c r="M224" s="40">
        <f>M191</f>
        <v>12765145</v>
      </c>
      <c r="N224" s="40">
        <f>N191</f>
        <v>12676745</v>
      </c>
      <c r="O224" s="40">
        <f>O191</f>
        <v>12676745</v>
      </c>
    </row>
    <row r="225" spans="1:20" x14ac:dyDescent="0.2">
      <c r="B225" s="38"/>
      <c r="E225" s="38"/>
      <c r="F225" s="38"/>
      <c r="G225" s="38"/>
      <c r="H225" s="38"/>
      <c r="I225" s="38"/>
      <c r="L225" s="46" t="s">
        <v>23</v>
      </c>
      <c r="M225" s="47">
        <f>SUM(M6:M7,M13:M14,M22:M23,M32:M33,M41:M42,M52:M53,M64,M73:M74,M88,M98:M99,M108,M117:M118,M128,M137:M138,M152:M153,M157,M167:M168,M177,M186:M187,M197,M206:M207,M215:M216)</f>
        <v>132318900</v>
      </c>
      <c r="N225" s="47">
        <f>SUM(N6:N7,N13:N14,N22:N23,N32:N33,N41:N42,N52:N53,N64,N73:N74,N88,N98:N99,N108,N117:N118,N128,N137:N138,N152:N153,N157,N167:N168,N177,N186:N187,N197,N206:N207,N215:N216)</f>
        <v>65992300</v>
      </c>
      <c r="O225" s="47">
        <f>SUM(O6:O7,O13:O14,O22:O23,O32:O33,O41:O42,O52:O53,O64,O73:O74,O88,O98:O99,O108,O117:O118,O128,O137:O138,O152:O153,O157,O167:O168,O177,O186:O187,O197,O206:O207,O215:O216)</f>
        <v>30520000</v>
      </c>
    </row>
    <row r="226" spans="1:20" x14ac:dyDescent="0.2">
      <c r="B226" s="38"/>
      <c r="E226" s="38"/>
      <c r="F226" s="38"/>
      <c r="G226" s="38"/>
      <c r="H226" s="38"/>
      <c r="I226" s="38"/>
      <c r="L226" s="45" t="s">
        <v>24</v>
      </c>
      <c r="M226" s="40">
        <f>M12+M79+M81</f>
        <v>105577000</v>
      </c>
      <c r="N226" s="40">
        <f>N12+N79+N81</f>
        <v>39005000</v>
      </c>
      <c r="O226" s="40">
        <f>O12+O79+O81</f>
        <v>39005000</v>
      </c>
    </row>
    <row r="227" spans="1:20" ht="20" x14ac:dyDescent="0.4">
      <c r="B227" s="38"/>
      <c r="E227" s="38"/>
      <c r="F227" s="38"/>
      <c r="G227" s="38"/>
      <c r="H227" s="38"/>
      <c r="I227" s="38"/>
      <c r="L227" s="46" t="s">
        <v>25</v>
      </c>
      <c r="M227" s="47">
        <f>M212</f>
        <v>7012308</v>
      </c>
      <c r="N227" s="47">
        <f>N212</f>
        <v>7012308</v>
      </c>
      <c r="O227" s="47">
        <f>O212</f>
        <v>7012308</v>
      </c>
      <c r="P227" s="142"/>
    </row>
    <row r="228" spans="1:20" x14ac:dyDescent="0.2">
      <c r="E228" s="38"/>
      <c r="F228" s="38"/>
      <c r="G228" s="38"/>
      <c r="H228" s="38"/>
      <c r="I228" s="38"/>
      <c r="L228" s="45" t="s">
        <v>26</v>
      </c>
      <c r="M228" s="40">
        <f>M214</f>
        <v>9639000</v>
      </c>
      <c r="N228" s="40">
        <f>N214</f>
        <v>9639000</v>
      </c>
      <c r="O228" s="40">
        <f>O214</f>
        <v>9639000</v>
      </c>
      <c r="T228" s="2" t="s">
        <v>18</v>
      </c>
    </row>
    <row r="229" spans="1:20" x14ac:dyDescent="0.2">
      <c r="A229" s="38"/>
      <c r="L229" s="46" t="s">
        <v>30</v>
      </c>
      <c r="M229" s="47">
        <f>M51</f>
        <v>13613805</v>
      </c>
      <c r="N229" s="47">
        <f>N51</f>
        <v>13613805</v>
      </c>
      <c r="O229" s="47">
        <f>O51</f>
        <v>13613805</v>
      </c>
    </row>
    <row r="230" spans="1:20" x14ac:dyDescent="0.2">
      <c r="L230" s="45" t="s">
        <v>29</v>
      </c>
      <c r="M230" s="40">
        <f>SUM(M21)</f>
        <v>1676000</v>
      </c>
      <c r="N230" s="40">
        <f>SUM(N21)</f>
        <v>400000</v>
      </c>
      <c r="O230" s="40">
        <f>SUM(O21)</f>
        <v>400000</v>
      </c>
    </row>
    <row r="231" spans="1:20" x14ac:dyDescent="0.2">
      <c r="L231" s="45" t="s">
        <v>36</v>
      </c>
      <c r="M231" s="40">
        <f>SUM(M18:M20,M28:M31,M37:M40,M47:M50,M60:M63,M69:M72,M82:M85,M93:M96,M103:M106,M113:M116,M122:M125,M133:M136,M143:M146,M148:M151,M163:M166,M173:M176,M182:M185,M193:M196,M202:M205)</f>
        <v>41396500</v>
      </c>
      <c r="N231" s="40">
        <f>SUM(N18:N20,N28:N31,N37:N40,N47:N50,N60:N63,N69:N72,N82:N85,N93:N96,N103:N106,N113:N116,N122:N125,N133:N136,N143:N146,N148:N151,N163:N166,N173:N176,N182:N185,N193:N196,N202:N205)</f>
        <v>7367000</v>
      </c>
      <c r="O231" s="40">
        <f>SUM(O18:O20,O28:O31,O37:O40,O47:O50,O60:O63,O69:O72,O82:O85,O93:O96,O103:O106,O113:O116,O122:O125,O133:O136,O143:O146,O148:O151,O163:O166,O173:O176,O182:O185,O193:O196,O202:O205)</f>
        <v>16714000</v>
      </c>
    </row>
    <row r="232" spans="1:20" x14ac:dyDescent="0.2">
      <c r="L232" s="45" t="s">
        <v>33</v>
      </c>
      <c r="M232" s="40">
        <f>SUM(M27,M46,M68,M92,M97,M112,M132,M142,M147,M162,M172,M181,M192,M201)</f>
        <v>12812000</v>
      </c>
      <c r="N232" s="40">
        <f>SUM(N27,N46,N68,N92,N97,N112,N132,N142,N147,N162,N172,N181,N192,N201)</f>
        <v>1185000</v>
      </c>
      <c r="O232" s="40">
        <f>SUM(O27,O46,O68,O92,O97,O112,O132,O142,O147,O162,O172,O181,O192,O201)</f>
        <v>1380000</v>
      </c>
    </row>
    <row r="233" spans="1:20" ht="10.5" x14ac:dyDescent="0.25">
      <c r="L233" s="49" t="s">
        <v>17</v>
      </c>
      <c r="M233" s="50">
        <f>SUM(M222:M232)</f>
        <v>635079058</v>
      </c>
      <c r="N233" s="50">
        <f>SUM(N222:N232)</f>
        <v>327181758</v>
      </c>
      <c r="O233" s="50">
        <f>SUM(O222:O232)</f>
        <v>253205858</v>
      </c>
    </row>
    <row r="234" spans="1:20" x14ac:dyDescent="0.2">
      <c r="L234" s="46" t="s">
        <v>27</v>
      </c>
      <c r="M234" s="47">
        <f>SUM(M57:M59,M86:M87,M107,M126:M127)</f>
        <v>15342000</v>
      </c>
      <c r="N234" s="47">
        <f>SUM(N57:N59,N86:N87,N107,N126:N127)</f>
        <v>15342000</v>
      </c>
      <c r="O234" s="47">
        <f>SUM(O57:O59,O86:O87,O107,O126:O127)</f>
        <v>15342000</v>
      </c>
    </row>
    <row r="235" spans="1:20" ht="10.5" x14ac:dyDescent="0.25">
      <c r="L235" s="42" t="s">
        <v>28</v>
      </c>
      <c r="M235" s="43">
        <f>M233+M234</f>
        <v>650421058</v>
      </c>
      <c r="N235" s="43">
        <f>N233+N234</f>
        <v>342523758</v>
      </c>
      <c r="O235" s="43">
        <f>O233+O234</f>
        <v>268547858</v>
      </c>
    </row>
    <row r="236" spans="1:20" ht="10.5" x14ac:dyDescent="0.25">
      <c r="M236" s="1" t="b">
        <f>IF(M217=M235,TRUE,FALSE)</f>
        <v>1</v>
      </c>
      <c r="N236" s="1" t="b">
        <f>IF(N217=N235,TRUE,FALSE)</f>
        <v>1</v>
      </c>
      <c r="O236" s="1" t="b">
        <f>IF(O217=O235,TRUE,FALSE)</f>
        <v>1</v>
      </c>
    </row>
    <row r="238" spans="1:20" x14ac:dyDescent="0.2">
      <c r="M238" s="38"/>
      <c r="N238" s="38"/>
      <c r="O238" s="38"/>
    </row>
    <row r="239" spans="1:20" x14ac:dyDescent="0.2">
      <c r="O239" s="38"/>
    </row>
    <row r="240" spans="1:20" x14ac:dyDescent="0.2">
      <c r="O240" s="78"/>
    </row>
    <row r="241" spans="12:16" x14ac:dyDescent="0.2">
      <c r="M241" s="38"/>
      <c r="N241" s="38"/>
      <c r="O241" s="78"/>
    </row>
    <row r="242" spans="12:16" x14ac:dyDescent="0.2">
      <c r="O242" s="78"/>
    </row>
    <row r="247" spans="12:16" ht="10.5" x14ac:dyDescent="0.25">
      <c r="N247" s="105" t="s">
        <v>76</v>
      </c>
      <c r="O247" s="105"/>
      <c r="P247" s="106">
        <v>270419408</v>
      </c>
    </row>
    <row r="248" spans="12:16" x14ac:dyDescent="0.2">
      <c r="N248" s="105" t="s">
        <v>77</v>
      </c>
      <c r="O248" s="105"/>
      <c r="P248" s="47">
        <f>P247-O217</f>
        <v>1871550</v>
      </c>
    </row>
    <row r="249" spans="12:16" x14ac:dyDescent="0.2">
      <c r="L249" s="2">
        <f>223+48</f>
        <v>271</v>
      </c>
      <c r="N249" s="105" t="s">
        <v>72</v>
      </c>
      <c r="O249" s="105"/>
      <c r="P249" s="107">
        <f>O217/P247</f>
        <v>0.99307908402787426</v>
      </c>
    </row>
    <row r="250" spans="12:16" x14ac:dyDescent="0.2">
      <c r="N250" s="291" t="s">
        <v>73</v>
      </c>
      <c r="O250" s="292"/>
      <c r="P250" s="108">
        <f>100%-P249</f>
        <v>6.9209159721257407E-3</v>
      </c>
    </row>
    <row r="259" spans="15:15" x14ac:dyDescent="0.2">
      <c r="O259" s="28"/>
    </row>
  </sheetData>
  <mergeCells count="3">
    <mergeCell ref="A78:A81"/>
    <mergeCell ref="B78:B81"/>
    <mergeCell ref="N250:O250"/>
  </mergeCells>
  <printOptions horizontalCentered="1"/>
  <pageMargins left="0" right="0" top="0.27" bottom="0.3" header="0.17" footer="0.19"/>
  <pageSetup paperSize="9" scale="53" orientation="landscape" r:id="rId1"/>
  <headerFooter alignWithMargins="0">
    <oddFooter>Page &amp;P of &amp;N</oddFooter>
  </headerFooter>
  <rowBreaks count="3" manualBreakCount="3">
    <brk id="72" max="16" man="1"/>
    <brk id="146" max="16" man="1"/>
    <brk id="219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270"/>
  <sheetViews>
    <sheetView showGridLines="0" tabSelected="1" zoomScale="90" zoomScaleNormal="90" zoomScaleSheetLayoutView="115" workbookViewId="0">
      <pane xSplit="4" ySplit="3" topLeftCell="E251" activePane="bottomRight" state="frozen"/>
      <selection pane="topRight" activeCell="D1" sqref="D1"/>
      <selection pane="bottomLeft" activeCell="A4" sqref="A4"/>
      <selection pane="bottomRight" activeCell="H266" sqref="H266"/>
    </sheetView>
  </sheetViews>
  <sheetFormatPr defaultColWidth="9.26953125" defaultRowHeight="10" outlineLevelRow="1" x14ac:dyDescent="0.2"/>
  <cols>
    <col min="1" max="1" width="9.26953125" style="157" customWidth="1"/>
    <col min="2" max="2" width="12.26953125" style="157" customWidth="1"/>
    <col min="3" max="3" width="16.26953125" style="157" bestFit="1" customWidth="1"/>
    <col min="4" max="4" width="13.453125" style="2" bestFit="1" customWidth="1"/>
    <col min="5" max="5" width="13.26953125" style="157" bestFit="1" customWidth="1"/>
    <col min="6" max="6" width="12" style="159" customWidth="1"/>
    <col min="7" max="7" width="13" style="157" customWidth="1"/>
    <col min="8" max="8" width="10.7265625" style="157" customWidth="1"/>
    <col min="9" max="9" width="12.26953125" style="157" customWidth="1"/>
    <col min="10" max="10" width="11.26953125" style="157" bestFit="1" customWidth="1"/>
    <col min="11" max="11" width="16.7265625" style="157" bestFit="1" customWidth="1"/>
    <col min="12" max="12" width="15.7265625" style="157" bestFit="1" customWidth="1"/>
    <col min="13" max="13" width="8" style="157" bestFit="1" customWidth="1"/>
    <col min="14" max="16384" width="9.26953125" style="2"/>
  </cols>
  <sheetData>
    <row r="1" spans="1:13" ht="24.75" customHeight="1" x14ac:dyDescent="0.25">
      <c r="A1" s="171" t="s">
        <v>147</v>
      </c>
      <c r="B1" s="155"/>
      <c r="C1" s="155"/>
    </row>
    <row r="2" spans="1:13" x14ac:dyDescent="0.2">
      <c r="L2" s="315" t="s">
        <v>129</v>
      </c>
      <c r="M2" s="315"/>
    </row>
    <row r="3" spans="1:13" ht="31.5" x14ac:dyDescent="0.2">
      <c r="A3" s="161" t="s">
        <v>122</v>
      </c>
      <c r="B3" s="161" t="s">
        <v>134</v>
      </c>
      <c r="C3" s="161" t="s">
        <v>123</v>
      </c>
      <c r="D3" s="161" t="s">
        <v>124</v>
      </c>
      <c r="E3" s="161" t="s">
        <v>125</v>
      </c>
      <c r="F3" s="162" t="s">
        <v>126</v>
      </c>
      <c r="G3" s="161" t="s">
        <v>5</v>
      </c>
      <c r="H3" s="161" t="s">
        <v>7</v>
      </c>
      <c r="I3" s="163" t="s">
        <v>120</v>
      </c>
      <c r="J3" s="161" t="s">
        <v>10</v>
      </c>
      <c r="K3" s="161" t="s">
        <v>127</v>
      </c>
      <c r="L3" s="161" t="s">
        <v>135</v>
      </c>
      <c r="M3" s="161" t="s">
        <v>15</v>
      </c>
    </row>
    <row r="4" spans="1:13" ht="12" customHeight="1" outlineLevel="1" x14ac:dyDescent="0.2">
      <c r="A4" s="164">
        <v>45265</v>
      </c>
      <c r="B4" s="164">
        <v>45267</v>
      </c>
      <c r="C4" s="160" t="s">
        <v>136</v>
      </c>
      <c r="D4" s="172" t="s">
        <v>165</v>
      </c>
      <c r="E4" s="158">
        <v>45447</v>
      </c>
      <c r="F4" s="166" t="s">
        <v>128</v>
      </c>
      <c r="G4" s="166">
        <v>6.25E-2</v>
      </c>
      <c r="H4" s="166">
        <v>6.3500000000000001E-2</v>
      </c>
      <c r="I4" s="166">
        <v>6.25E-2</v>
      </c>
      <c r="J4" s="166">
        <v>6.25E-2</v>
      </c>
      <c r="K4" s="174">
        <v>6055000</v>
      </c>
      <c r="L4" s="174">
        <v>2000000</v>
      </c>
      <c r="M4" s="170">
        <f>IF(L4=0,0,K4/L4)</f>
        <v>3.0274999999999999</v>
      </c>
    </row>
    <row r="5" spans="1:13" ht="12" customHeight="1" outlineLevel="1" x14ac:dyDescent="0.2">
      <c r="A5" s="164"/>
      <c r="B5" s="164"/>
      <c r="C5" s="160"/>
      <c r="D5" s="172" t="s">
        <v>166</v>
      </c>
      <c r="E5" s="158">
        <v>45884</v>
      </c>
      <c r="F5" s="166">
        <v>5.3749999999999999E-2</v>
      </c>
      <c r="G5" s="166">
        <v>6.5699999999999995E-2</v>
      </c>
      <c r="H5" s="166">
        <v>6.83E-2</v>
      </c>
      <c r="I5" s="178">
        <v>6.6583400000000001E-2</v>
      </c>
      <c r="J5" s="180">
        <v>6.6900000000000001E-2</v>
      </c>
      <c r="K5" s="174">
        <v>3018000</v>
      </c>
      <c r="L5" s="174">
        <v>500000</v>
      </c>
      <c r="M5" s="170">
        <f t="shared" ref="M5:M10" si="0">IF(L5=0,0,K5/L5)</f>
        <v>6.0359999999999996</v>
      </c>
    </row>
    <row r="6" spans="1:13" ht="12.75" customHeight="1" outlineLevel="1" x14ac:dyDescent="0.2">
      <c r="A6" s="164"/>
      <c r="B6" s="158"/>
      <c r="C6" s="160"/>
      <c r="D6" s="172" t="s">
        <v>50</v>
      </c>
      <c r="E6" s="158">
        <v>46402</v>
      </c>
      <c r="F6" s="166">
        <v>0.06</v>
      </c>
      <c r="G6" s="166">
        <v>6.5799999999999997E-2</v>
      </c>
      <c r="H6" s="166">
        <v>6.9000000000000006E-2</v>
      </c>
      <c r="I6" s="175">
        <v>6.6463400000000006E-2</v>
      </c>
      <c r="J6" s="180">
        <v>6.7000000000000004E-2</v>
      </c>
      <c r="K6" s="174">
        <v>4600700</v>
      </c>
      <c r="L6" s="174">
        <v>4200000</v>
      </c>
      <c r="M6" s="170">
        <f t="shared" si="0"/>
        <v>1.095404761904762</v>
      </c>
    </row>
    <row r="7" spans="1:13" ht="12.75" customHeight="1" outlineLevel="1" x14ac:dyDescent="0.25">
      <c r="A7" s="156"/>
      <c r="B7" s="156"/>
      <c r="C7" s="156"/>
      <c r="D7" s="2" t="s">
        <v>139</v>
      </c>
      <c r="E7" s="158">
        <v>47376</v>
      </c>
      <c r="F7" s="177">
        <v>6.6250000000000003E-2</v>
      </c>
      <c r="G7" s="166">
        <v>6.6000000000000003E-2</v>
      </c>
      <c r="H7" s="166">
        <v>6.8400000000000002E-2</v>
      </c>
      <c r="I7" s="175">
        <v>6.7098099999999994E-2</v>
      </c>
      <c r="J7" s="166">
        <v>6.7500000000000004E-2</v>
      </c>
      <c r="K7" s="174">
        <v>966000</v>
      </c>
      <c r="L7" s="174">
        <v>590000</v>
      </c>
      <c r="M7" s="170">
        <f t="shared" si="0"/>
        <v>1.6372881355932203</v>
      </c>
    </row>
    <row r="8" spans="1:13" ht="12.75" customHeight="1" outlineLevel="1" x14ac:dyDescent="0.25">
      <c r="A8" s="156"/>
      <c r="B8" s="156"/>
      <c r="C8" s="156"/>
      <c r="D8" s="172" t="s">
        <v>167</v>
      </c>
      <c r="E8" s="158">
        <v>49749</v>
      </c>
      <c r="F8" s="166">
        <v>6.8750000000000006E-2</v>
      </c>
      <c r="G8" s="166">
        <v>6.8199999999999997E-2</v>
      </c>
      <c r="H8" s="166">
        <v>7.0000000000000007E-2</v>
      </c>
      <c r="I8" s="175">
        <v>6.8451200000000004E-2</v>
      </c>
      <c r="J8" s="175">
        <v>6.8500000000000005E-2</v>
      </c>
      <c r="K8" s="174">
        <v>1532000</v>
      </c>
      <c r="L8" s="174">
        <v>550000</v>
      </c>
      <c r="M8" s="170">
        <f t="shared" si="0"/>
        <v>2.7854545454545456</v>
      </c>
    </row>
    <row r="9" spans="1:13" ht="12.75" customHeight="1" outlineLevel="1" x14ac:dyDescent="0.25">
      <c r="A9" s="156"/>
      <c r="B9" s="156"/>
      <c r="C9" s="156"/>
      <c r="D9" s="172" t="s">
        <v>168</v>
      </c>
      <c r="E9" s="158">
        <v>49749</v>
      </c>
      <c r="F9" s="166">
        <v>6.8750000000000006E-2</v>
      </c>
      <c r="G9" s="166">
        <v>6.8699999999999997E-2</v>
      </c>
      <c r="H9" s="166">
        <v>6.93E-2</v>
      </c>
      <c r="I9" s="175" t="s">
        <v>130</v>
      </c>
      <c r="J9" s="175" t="s">
        <v>130</v>
      </c>
      <c r="K9" s="174">
        <v>631500</v>
      </c>
      <c r="L9" s="174" t="s">
        <v>130</v>
      </c>
      <c r="M9" s="221" t="s">
        <v>130</v>
      </c>
    </row>
    <row r="10" spans="1:13" ht="12.75" customHeight="1" outlineLevel="1" x14ac:dyDescent="0.25">
      <c r="A10" s="181"/>
      <c r="B10" s="156"/>
      <c r="C10" s="182"/>
      <c r="D10" s="172" t="s">
        <v>142</v>
      </c>
      <c r="E10" s="158">
        <v>54772</v>
      </c>
      <c r="F10" s="166">
        <v>6.8750000000000006E-2</v>
      </c>
      <c r="G10" s="166">
        <v>6.8900000000000003E-2</v>
      </c>
      <c r="H10" s="166">
        <v>7.0900000000000005E-2</v>
      </c>
      <c r="I10" s="175">
        <v>6.9710400000000006E-2</v>
      </c>
      <c r="J10" s="175">
        <v>6.9800000000000001E-2</v>
      </c>
      <c r="K10" s="174">
        <v>2951500</v>
      </c>
      <c r="L10" s="174">
        <v>1300000</v>
      </c>
      <c r="M10" s="170">
        <f t="shared" si="0"/>
        <v>2.2703846153846152</v>
      </c>
    </row>
    <row r="11" spans="1:13" s="1" customFormat="1" ht="12.75" customHeight="1" outlineLevel="1" x14ac:dyDescent="0.25">
      <c r="A11" s="297" t="s">
        <v>121</v>
      </c>
      <c r="B11" s="298"/>
      <c r="C11" s="298"/>
      <c r="D11" s="298"/>
      <c r="E11" s="298"/>
      <c r="F11" s="298"/>
      <c r="G11" s="298"/>
      <c r="H11" s="298"/>
      <c r="I11" s="298"/>
      <c r="J11" s="299"/>
      <c r="K11" s="176">
        <f>SUM(K4:K10)</f>
        <v>19754700</v>
      </c>
      <c r="L11" s="176">
        <f>SUM(L4:L10)</f>
        <v>9140000</v>
      </c>
      <c r="M11" s="165"/>
    </row>
    <row r="12" spans="1:13" ht="12" customHeight="1" outlineLevel="1" x14ac:dyDescent="0.2">
      <c r="A12" s="198">
        <v>45272</v>
      </c>
      <c r="B12" s="215">
        <v>45274</v>
      </c>
      <c r="C12" s="199" t="s">
        <v>136</v>
      </c>
      <c r="D12" s="184" t="s">
        <v>169</v>
      </c>
      <c r="E12" s="185">
        <v>45364</v>
      </c>
      <c r="F12" s="186" t="s">
        <v>128</v>
      </c>
      <c r="G12" s="202">
        <v>6.3299999999999995E-2</v>
      </c>
      <c r="H12" s="202">
        <v>6.6000000000000003E-2</v>
      </c>
      <c r="I12" s="194">
        <v>6.3353800000000002E-2</v>
      </c>
      <c r="J12" s="194">
        <v>6.4000000000000001E-2</v>
      </c>
      <c r="K12" s="204">
        <v>3410000</v>
      </c>
      <c r="L12" s="206">
        <v>650000</v>
      </c>
      <c r="M12" s="222" t="s">
        <v>130</v>
      </c>
    </row>
    <row r="13" spans="1:13" ht="12" customHeight="1" outlineLevel="1" x14ac:dyDescent="0.2">
      <c r="A13" s="198"/>
      <c r="B13" s="183"/>
      <c r="C13" s="199"/>
      <c r="D13" s="184" t="s">
        <v>170</v>
      </c>
      <c r="E13" s="185">
        <v>45638</v>
      </c>
      <c r="F13" s="186" t="s">
        <v>128</v>
      </c>
      <c r="G13" s="186">
        <v>6.7000000000000004E-2</v>
      </c>
      <c r="H13" s="186">
        <v>7.0499999999999993E-2</v>
      </c>
      <c r="I13" s="202">
        <v>6.7000000000000004E-2</v>
      </c>
      <c r="J13" s="203">
        <v>6.7000000000000004E-2</v>
      </c>
      <c r="K13" s="204">
        <v>5172000</v>
      </c>
      <c r="L13" s="207">
        <v>300000</v>
      </c>
      <c r="M13" s="188">
        <f t="shared" ref="M13" si="1">IF(L13=0,0,K12/L13)</f>
        <v>11.366666666666667</v>
      </c>
    </row>
    <row r="14" spans="1:13" ht="12.75" customHeight="1" outlineLevel="1" x14ac:dyDescent="0.2">
      <c r="A14" s="198"/>
      <c r="B14" s="185"/>
      <c r="C14" s="199"/>
      <c r="D14" s="184" t="s">
        <v>141</v>
      </c>
      <c r="E14" s="185">
        <v>47223</v>
      </c>
      <c r="F14" s="186">
        <v>6.8750000000000006E-2</v>
      </c>
      <c r="G14" s="186">
        <v>6.6699999999999995E-2</v>
      </c>
      <c r="H14" s="186">
        <v>7.0000000000000007E-2</v>
      </c>
      <c r="I14" s="187">
        <v>6.70988E-2</v>
      </c>
      <c r="J14" s="195">
        <v>6.7400000000000002E-2</v>
      </c>
      <c r="K14" s="204">
        <v>14034500</v>
      </c>
      <c r="L14" s="208">
        <v>7300000</v>
      </c>
      <c r="M14" s="188">
        <f>IF(L14=0,0,K14/L14)</f>
        <v>1.9225342465753426</v>
      </c>
    </row>
    <row r="15" spans="1:13" ht="12.75" customHeight="1" outlineLevel="1" x14ac:dyDescent="0.25">
      <c r="A15" s="191"/>
      <c r="B15" s="189"/>
      <c r="C15" s="192"/>
      <c r="D15" s="184" t="s">
        <v>140</v>
      </c>
      <c r="E15" s="185">
        <v>48990</v>
      </c>
      <c r="F15" s="186">
        <v>6.6250000000000003E-2</v>
      </c>
      <c r="G15" s="186">
        <v>6.6900000000000001E-2</v>
      </c>
      <c r="H15" s="186">
        <v>7.0499999999999993E-2</v>
      </c>
      <c r="I15" s="196">
        <v>6.7397100000000001E-2</v>
      </c>
      <c r="J15" s="197">
        <v>6.7599999999999993E-2</v>
      </c>
      <c r="K15" s="204">
        <v>6485500</v>
      </c>
      <c r="L15" s="207">
        <v>4300000</v>
      </c>
      <c r="M15" s="188">
        <f>IF(L15=0,0,K15/L15)</f>
        <v>1.5082558139534883</v>
      </c>
    </row>
    <row r="16" spans="1:13" ht="12.75" customHeight="1" outlineLevel="1" x14ac:dyDescent="0.25">
      <c r="A16" s="191"/>
      <c r="B16" s="189"/>
      <c r="C16" s="192"/>
      <c r="D16" s="184" t="s">
        <v>138</v>
      </c>
      <c r="E16" s="185">
        <v>50571</v>
      </c>
      <c r="F16" s="186">
        <v>7.1249999999999994E-2</v>
      </c>
      <c r="G16" s="186">
        <v>6.8000000000000005E-2</v>
      </c>
      <c r="H16" s="186">
        <v>7.0000000000000007E-2</v>
      </c>
      <c r="I16" s="187">
        <v>6.8296499999999996E-2</v>
      </c>
      <c r="J16" s="195">
        <v>6.8400000000000002E-2</v>
      </c>
      <c r="K16" s="204">
        <v>5808100</v>
      </c>
      <c r="L16" s="208">
        <v>1800000</v>
      </c>
      <c r="M16" s="188">
        <f>IF(L16=0,0,K16/L16)</f>
        <v>3.226722222222222</v>
      </c>
    </row>
    <row r="17" spans="1:15" ht="12.75" customHeight="1" outlineLevel="1" x14ac:dyDescent="0.25">
      <c r="A17" s="191"/>
      <c r="B17" s="189"/>
      <c r="C17" s="192"/>
      <c r="D17" s="184" t="s">
        <v>137</v>
      </c>
      <c r="E17" s="185">
        <v>52397</v>
      </c>
      <c r="F17" s="186">
        <v>7.1249999999999994E-2</v>
      </c>
      <c r="G17" s="186">
        <v>6.8400000000000002E-2</v>
      </c>
      <c r="H17" s="186">
        <v>7.0499999999999993E-2</v>
      </c>
      <c r="I17" s="187">
        <v>6.8765199999999999E-2</v>
      </c>
      <c r="J17" s="196">
        <v>6.9099999999999995E-2</v>
      </c>
      <c r="K17" s="205">
        <v>2990600</v>
      </c>
      <c r="L17" s="208">
        <v>2100000</v>
      </c>
      <c r="M17" s="188">
        <f>IF(L17=0,0,K17/L17)</f>
        <v>1.4240952380952381</v>
      </c>
    </row>
    <row r="18" spans="1:15" ht="12.75" customHeight="1" outlineLevel="1" x14ac:dyDescent="0.25">
      <c r="A18" s="191"/>
      <c r="B18" s="200"/>
      <c r="C18" s="192"/>
      <c r="D18" s="184" t="s">
        <v>171</v>
      </c>
      <c r="E18" s="185">
        <v>55380</v>
      </c>
      <c r="F18" s="186">
        <v>6.8750000000000006E-2</v>
      </c>
      <c r="G18" s="186">
        <v>6.9599999999999995E-2</v>
      </c>
      <c r="H18" s="186">
        <v>7.1199999999999999E-2</v>
      </c>
      <c r="I18" s="197">
        <v>6.9999099999999995E-2</v>
      </c>
      <c r="J18" s="196">
        <v>7.0099999999999996E-2</v>
      </c>
      <c r="K18" s="205">
        <v>3283500</v>
      </c>
      <c r="L18" s="207">
        <v>2550000</v>
      </c>
      <c r="M18" s="201">
        <f>IF(L18=0,0,K18/L18)</f>
        <v>1.2876470588235294</v>
      </c>
    </row>
    <row r="19" spans="1:15" s="1" customFormat="1" ht="12.75" customHeight="1" outlineLevel="1" x14ac:dyDescent="0.25">
      <c r="A19" s="293" t="s">
        <v>121</v>
      </c>
      <c r="B19" s="294"/>
      <c r="C19" s="295"/>
      <c r="D19" s="295"/>
      <c r="E19" s="295"/>
      <c r="F19" s="295"/>
      <c r="G19" s="295"/>
      <c r="H19" s="295"/>
      <c r="I19" s="295"/>
      <c r="J19" s="296"/>
      <c r="K19" s="190">
        <f>SUM(K12:K18)</f>
        <v>41184200</v>
      </c>
      <c r="L19" s="190">
        <f>SUM(L12:L18)</f>
        <v>19000000</v>
      </c>
      <c r="M19" s="193"/>
    </row>
    <row r="20" spans="1:15" ht="12" customHeight="1" outlineLevel="1" x14ac:dyDescent="0.2">
      <c r="A20" s="164">
        <v>45279</v>
      </c>
      <c r="B20" s="164">
        <v>45281</v>
      </c>
      <c r="C20" s="160" t="s">
        <v>136</v>
      </c>
      <c r="D20" s="172" t="s">
        <v>165</v>
      </c>
      <c r="E20" s="158">
        <v>45447</v>
      </c>
      <c r="F20" s="166" t="s">
        <v>128</v>
      </c>
      <c r="G20" s="166">
        <v>6.4500000000000002E-2</v>
      </c>
      <c r="H20" s="166">
        <v>6.6000000000000003E-2</v>
      </c>
      <c r="I20" s="178" t="s">
        <v>130</v>
      </c>
      <c r="J20" s="178" t="s">
        <v>130</v>
      </c>
      <c r="K20" s="174">
        <v>5050000</v>
      </c>
      <c r="L20" s="174" t="s">
        <v>130</v>
      </c>
      <c r="M20" s="223" t="s">
        <v>130</v>
      </c>
    </row>
    <row r="21" spans="1:15" ht="12" customHeight="1" outlineLevel="1" x14ac:dyDescent="0.2">
      <c r="A21" s="164"/>
      <c r="B21" s="164"/>
      <c r="C21" s="160"/>
      <c r="D21" s="172" t="s">
        <v>166</v>
      </c>
      <c r="E21" s="158">
        <v>45884</v>
      </c>
      <c r="F21" s="166">
        <v>5.3749999999999999E-2</v>
      </c>
      <c r="G21" s="166">
        <v>6.5799999999999997E-2</v>
      </c>
      <c r="H21" s="166">
        <v>6.8199999999999997E-2</v>
      </c>
      <c r="I21" s="178">
        <v>6.6394499999999995E-2</v>
      </c>
      <c r="J21" s="180">
        <v>6.7100000000000007E-2</v>
      </c>
      <c r="K21" s="174">
        <v>2728000</v>
      </c>
      <c r="L21" s="174">
        <v>1800000</v>
      </c>
      <c r="M21" s="224">
        <f t="shared" ref="M21:M25" si="2">IF(L21=0,0,K21/L21)</f>
        <v>1.5155555555555555</v>
      </c>
    </row>
    <row r="22" spans="1:15" ht="12.75" customHeight="1" outlineLevel="1" x14ac:dyDescent="0.2">
      <c r="A22" s="164"/>
      <c r="B22" s="158"/>
      <c r="C22" s="160"/>
      <c r="D22" s="172" t="s">
        <v>50</v>
      </c>
      <c r="E22" s="158">
        <v>46402</v>
      </c>
      <c r="F22" s="166">
        <v>0.06</v>
      </c>
      <c r="G22" s="166">
        <v>6.5500000000000003E-2</v>
      </c>
      <c r="H22" s="166">
        <v>6.8000000000000005E-2</v>
      </c>
      <c r="I22" s="175" t="s">
        <v>130</v>
      </c>
      <c r="J22" s="180" t="s">
        <v>130</v>
      </c>
      <c r="K22" s="174">
        <v>1224100</v>
      </c>
      <c r="L22" s="174" t="s">
        <v>130</v>
      </c>
      <c r="M22" s="223" t="s">
        <v>130</v>
      </c>
    </row>
    <row r="23" spans="1:15" ht="12.75" customHeight="1" outlineLevel="1" x14ac:dyDescent="0.25">
      <c r="A23" s="156"/>
      <c r="B23" s="156"/>
      <c r="C23" s="156"/>
      <c r="D23" s="2" t="s">
        <v>139</v>
      </c>
      <c r="E23" s="158">
        <v>47376</v>
      </c>
      <c r="F23" s="177">
        <v>6.6250000000000003E-2</v>
      </c>
      <c r="G23" s="166">
        <v>6.6900000000000001E-2</v>
      </c>
      <c r="H23" s="166">
        <v>7.0000000000000007E-2</v>
      </c>
      <c r="I23" s="175">
        <v>6.7198400000000005E-2</v>
      </c>
      <c r="J23" s="166">
        <v>6.7500000000000004E-2</v>
      </c>
      <c r="K23" s="174">
        <v>816500</v>
      </c>
      <c r="L23" s="174">
        <v>350000</v>
      </c>
      <c r="M23" s="224">
        <f t="shared" si="2"/>
        <v>2.3328571428571427</v>
      </c>
    </row>
    <row r="24" spans="1:15" ht="12.75" customHeight="1" outlineLevel="1" x14ac:dyDescent="0.25">
      <c r="A24" s="156"/>
      <c r="B24" s="156"/>
      <c r="C24" s="156"/>
      <c r="D24" s="172" t="s">
        <v>167</v>
      </c>
      <c r="E24" s="158">
        <v>49749</v>
      </c>
      <c r="F24" s="166">
        <v>6.8750000000000006E-2</v>
      </c>
      <c r="G24" s="166">
        <v>6.7000000000000004E-2</v>
      </c>
      <c r="H24" s="166">
        <v>7.0000000000000007E-2</v>
      </c>
      <c r="I24" s="175">
        <v>6.7475900000000005E-2</v>
      </c>
      <c r="J24" s="175">
        <v>6.8099999999999994E-2</v>
      </c>
      <c r="K24" s="174">
        <v>1008000</v>
      </c>
      <c r="L24" s="174">
        <v>800000</v>
      </c>
      <c r="M24" s="224">
        <f t="shared" si="2"/>
        <v>1.26</v>
      </c>
    </row>
    <row r="25" spans="1:15" ht="12.75" customHeight="1" outlineLevel="1" x14ac:dyDescent="0.25">
      <c r="A25" s="181"/>
      <c r="B25" s="156"/>
      <c r="C25" s="182"/>
      <c r="D25" s="172" t="s">
        <v>142</v>
      </c>
      <c r="E25" s="158">
        <v>54772</v>
      </c>
      <c r="F25" s="166">
        <v>6.8750000000000006E-2</v>
      </c>
      <c r="G25" s="166">
        <v>6.88E-2</v>
      </c>
      <c r="H25" s="166">
        <v>7.0099999999999996E-2</v>
      </c>
      <c r="I25" s="175">
        <v>6.9629899999999995E-2</v>
      </c>
      <c r="J25" s="175">
        <v>6.9900000000000004E-2</v>
      </c>
      <c r="K25" s="174">
        <v>1110300</v>
      </c>
      <c r="L25" s="174">
        <v>1050000</v>
      </c>
      <c r="M25" s="224">
        <f t="shared" si="2"/>
        <v>1.0574285714285714</v>
      </c>
    </row>
    <row r="26" spans="1:15" s="1" customFormat="1" ht="12.75" customHeight="1" outlineLevel="1" x14ac:dyDescent="0.25">
      <c r="A26" s="297" t="s">
        <v>121</v>
      </c>
      <c r="B26" s="298"/>
      <c r="C26" s="298"/>
      <c r="D26" s="298"/>
      <c r="E26" s="298"/>
      <c r="F26" s="298"/>
      <c r="G26" s="298"/>
      <c r="H26" s="298"/>
      <c r="I26" s="298"/>
      <c r="J26" s="299"/>
      <c r="K26" s="176">
        <f>SUM(K20:K25)</f>
        <v>11936900</v>
      </c>
      <c r="L26" s="176">
        <f>SUM(L20:L25)</f>
        <v>4000000</v>
      </c>
      <c r="M26" s="165"/>
    </row>
    <row r="27" spans="1:15" s="232" customFormat="1" ht="17.25" customHeight="1" outlineLevel="1" x14ac:dyDescent="0.2">
      <c r="A27" s="316">
        <v>45280</v>
      </c>
      <c r="B27" s="316">
        <v>45287</v>
      </c>
      <c r="C27" s="309" t="s">
        <v>172</v>
      </c>
      <c r="D27" s="225" t="s">
        <v>173</v>
      </c>
      <c r="E27" s="226">
        <v>54193</v>
      </c>
      <c r="F27" s="227">
        <v>7.3749999999999996E-2</v>
      </c>
      <c r="G27" s="228" t="s">
        <v>130</v>
      </c>
      <c r="H27" s="228" t="s">
        <v>130</v>
      </c>
      <c r="I27" s="229">
        <v>6.8500000000000005E-2</v>
      </c>
      <c r="J27" s="228" t="s">
        <v>130</v>
      </c>
      <c r="K27" s="230">
        <v>2800000</v>
      </c>
      <c r="L27" s="230">
        <f t="shared" ref="L27:L28" si="3">K27</f>
        <v>2800000</v>
      </c>
      <c r="M27" s="231">
        <f t="shared" ref="M27:M28" si="4">IF(L27=0,0,K27/L27)</f>
        <v>1</v>
      </c>
      <c r="O27" s="233"/>
    </row>
    <row r="28" spans="1:15" s="232" customFormat="1" ht="17.25" customHeight="1" outlineLevel="1" x14ac:dyDescent="0.2">
      <c r="A28" s="317"/>
      <c r="B28" s="317"/>
      <c r="C28" s="311"/>
      <c r="D28" s="225" t="s">
        <v>174</v>
      </c>
      <c r="E28" s="226">
        <v>49475</v>
      </c>
      <c r="F28" s="227">
        <v>7.4999999999999997E-2</v>
      </c>
      <c r="G28" s="228" t="s">
        <v>130</v>
      </c>
      <c r="H28" s="228" t="s">
        <v>130</v>
      </c>
      <c r="I28" s="229">
        <v>6.6199999999999995E-2</v>
      </c>
      <c r="J28" s="228" t="s">
        <v>130</v>
      </c>
      <c r="K28" s="230">
        <v>1860000</v>
      </c>
      <c r="L28" s="230">
        <f t="shared" si="3"/>
        <v>1860000</v>
      </c>
      <c r="M28" s="231">
        <f t="shared" si="4"/>
        <v>1</v>
      </c>
      <c r="O28" s="233"/>
    </row>
    <row r="29" spans="1:15" s="232" customFormat="1" ht="13.5" customHeight="1" outlineLevel="1" x14ac:dyDescent="0.25">
      <c r="A29" s="312" t="s">
        <v>121</v>
      </c>
      <c r="B29" s="313"/>
      <c r="C29" s="313"/>
      <c r="D29" s="313"/>
      <c r="E29" s="313"/>
      <c r="F29" s="313"/>
      <c r="G29" s="313"/>
      <c r="H29" s="313"/>
      <c r="I29" s="313"/>
      <c r="J29" s="314"/>
      <c r="K29" s="234">
        <f>SUM(K27:K28)</f>
        <v>4660000</v>
      </c>
      <c r="L29" s="234">
        <f>SUM(L27:L28)</f>
        <v>4660000</v>
      </c>
      <c r="M29" s="234"/>
    </row>
    <row r="30" spans="1:15" s="232" customFormat="1" ht="17.25" customHeight="1" outlineLevel="1" x14ac:dyDescent="0.2">
      <c r="A30" s="306">
        <v>45282</v>
      </c>
      <c r="B30" s="306">
        <v>45288</v>
      </c>
      <c r="C30" s="309" t="s">
        <v>172</v>
      </c>
      <c r="D30" s="225" t="s">
        <v>98</v>
      </c>
      <c r="E30" s="226">
        <v>48714</v>
      </c>
      <c r="F30" s="227">
        <v>6.6250000000000003E-2</v>
      </c>
      <c r="G30" s="228" t="s">
        <v>130</v>
      </c>
      <c r="H30" s="228" t="s">
        <v>130</v>
      </c>
      <c r="I30" s="229">
        <v>6.5500000000000003E-2</v>
      </c>
      <c r="J30" s="228" t="s">
        <v>130</v>
      </c>
      <c r="K30" s="230">
        <v>340000</v>
      </c>
      <c r="L30" s="230">
        <f t="shared" ref="L30:L33" si="5">K30</f>
        <v>340000</v>
      </c>
      <c r="M30" s="231">
        <f t="shared" ref="M30:M33" si="6">IF(L30=0,0,K30/L30)</f>
        <v>1</v>
      </c>
      <c r="O30" s="233"/>
    </row>
    <row r="31" spans="1:15" s="232" customFormat="1" ht="17.25" customHeight="1" outlineLevel="1" x14ac:dyDescent="0.2">
      <c r="A31" s="307"/>
      <c r="B31" s="307"/>
      <c r="C31" s="310"/>
      <c r="D31" s="225" t="s">
        <v>174</v>
      </c>
      <c r="E31" s="226">
        <v>49475</v>
      </c>
      <c r="F31" s="227">
        <v>7.4999999999999997E-2</v>
      </c>
      <c r="G31" s="228" t="s">
        <v>130</v>
      </c>
      <c r="H31" s="228" t="s">
        <v>130</v>
      </c>
      <c r="I31" s="229">
        <v>6.5799999999999997E-2</v>
      </c>
      <c r="J31" s="228" t="s">
        <v>130</v>
      </c>
      <c r="K31" s="230">
        <v>630000</v>
      </c>
      <c r="L31" s="230">
        <f t="shared" si="5"/>
        <v>630000</v>
      </c>
      <c r="M31" s="231">
        <f t="shared" si="6"/>
        <v>1</v>
      </c>
      <c r="O31" s="233"/>
    </row>
    <row r="32" spans="1:15" s="232" customFormat="1" ht="17.25" customHeight="1" outlineLevel="1" x14ac:dyDescent="0.2">
      <c r="A32" s="307"/>
      <c r="B32" s="307"/>
      <c r="C32" s="310"/>
      <c r="D32" s="225" t="s">
        <v>175</v>
      </c>
      <c r="E32" s="226">
        <v>49841</v>
      </c>
      <c r="F32" s="227">
        <v>6.25E-2</v>
      </c>
      <c r="G32" s="228" t="s">
        <v>130</v>
      </c>
      <c r="H32" s="228" t="s">
        <v>130</v>
      </c>
      <c r="I32" s="229">
        <v>6.59E-2</v>
      </c>
      <c r="J32" s="228" t="s">
        <v>130</v>
      </c>
      <c r="K32" s="230">
        <v>550000</v>
      </c>
      <c r="L32" s="230">
        <f t="shared" si="5"/>
        <v>550000</v>
      </c>
      <c r="M32" s="231">
        <f t="shared" si="6"/>
        <v>1</v>
      </c>
      <c r="O32" s="233"/>
    </row>
    <row r="33" spans="1:15" s="232" customFormat="1" ht="17.25" customHeight="1" outlineLevel="1" x14ac:dyDescent="0.2">
      <c r="A33" s="308"/>
      <c r="B33" s="308"/>
      <c r="C33" s="311"/>
      <c r="D33" s="225" t="s">
        <v>176</v>
      </c>
      <c r="E33" s="226">
        <v>50236</v>
      </c>
      <c r="F33" s="227">
        <v>6.3750000000000001E-2</v>
      </c>
      <c r="G33" s="228" t="s">
        <v>130</v>
      </c>
      <c r="H33" s="228" t="s">
        <v>130</v>
      </c>
      <c r="I33" s="229">
        <v>6.6000000000000003E-2</v>
      </c>
      <c r="J33" s="228" t="s">
        <v>130</v>
      </c>
      <c r="K33" s="230">
        <v>750000</v>
      </c>
      <c r="L33" s="230">
        <f t="shared" si="5"/>
        <v>750000</v>
      </c>
      <c r="M33" s="231">
        <f t="shared" si="6"/>
        <v>1</v>
      </c>
      <c r="O33" s="233"/>
    </row>
    <row r="34" spans="1:15" s="232" customFormat="1" ht="13.5" customHeight="1" outlineLevel="1" x14ac:dyDescent="0.25">
      <c r="A34" s="312" t="s">
        <v>121</v>
      </c>
      <c r="B34" s="313"/>
      <c r="C34" s="313"/>
      <c r="D34" s="313"/>
      <c r="E34" s="313"/>
      <c r="F34" s="313"/>
      <c r="G34" s="313"/>
      <c r="H34" s="313"/>
      <c r="I34" s="313"/>
      <c r="J34" s="314"/>
      <c r="K34" s="234">
        <f>SUM(K30:K33)</f>
        <v>2270000</v>
      </c>
      <c r="L34" s="234">
        <f>SUM(L30:L33)</f>
        <v>2270000</v>
      </c>
      <c r="M34" s="234"/>
    </row>
    <row r="35" spans="1:15" ht="12" customHeight="1" outlineLevel="1" x14ac:dyDescent="0.2">
      <c r="A35" s="198">
        <v>45294</v>
      </c>
      <c r="B35" s="198">
        <v>45296</v>
      </c>
      <c r="C35" s="199" t="s">
        <v>136</v>
      </c>
      <c r="D35" s="184" t="s">
        <v>144</v>
      </c>
      <c r="E35" s="185">
        <v>45386</v>
      </c>
      <c r="F35" s="186" t="s">
        <v>128</v>
      </c>
      <c r="G35" s="202">
        <v>6.4000000000000001E-2</v>
      </c>
      <c r="H35" s="202">
        <v>6.4000000000000001E-2</v>
      </c>
      <c r="I35" s="194">
        <v>6.4000000000000001E-2</v>
      </c>
      <c r="J35" s="194">
        <v>6.4000000000000001E-2</v>
      </c>
      <c r="K35" s="209">
        <v>2400000</v>
      </c>
      <c r="L35" s="206">
        <v>800000</v>
      </c>
      <c r="M35" s="188">
        <f t="shared" ref="M35:M36" si="7">IF(L35=0,0,K35/L35)</f>
        <v>3</v>
      </c>
    </row>
    <row r="36" spans="1:15" ht="12" customHeight="1" outlineLevel="1" x14ac:dyDescent="0.2">
      <c r="A36" s="198"/>
      <c r="B36" s="183"/>
      <c r="C36" s="199"/>
      <c r="D36" s="184" t="s">
        <v>145</v>
      </c>
      <c r="E36" s="185">
        <v>45660</v>
      </c>
      <c r="F36" s="186" t="s">
        <v>128</v>
      </c>
      <c r="G36" s="186">
        <v>6.6500000000000004E-2</v>
      </c>
      <c r="H36" s="186">
        <v>6.9500000000000006E-2</v>
      </c>
      <c r="I36" s="202" t="s">
        <v>130</v>
      </c>
      <c r="J36" s="203" t="s">
        <v>130</v>
      </c>
      <c r="K36" s="204">
        <v>8468000</v>
      </c>
      <c r="L36" s="207">
        <v>0</v>
      </c>
      <c r="M36" s="188">
        <f t="shared" si="7"/>
        <v>0</v>
      </c>
    </row>
    <row r="37" spans="1:15" ht="12.75" customHeight="1" outlineLevel="1" x14ac:dyDescent="0.2">
      <c r="A37" s="198"/>
      <c r="B37" s="185"/>
      <c r="C37" s="199"/>
      <c r="D37" s="184" t="s">
        <v>141</v>
      </c>
      <c r="E37" s="185">
        <v>47223</v>
      </c>
      <c r="F37" s="186">
        <v>6.8750000000000006E-2</v>
      </c>
      <c r="G37" s="186">
        <v>6.54E-2</v>
      </c>
      <c r="H37" s="186">
        <v>6.7000000000000004E-2</v>
      </c>
      <c r="I37" s="187">
        <v>6.5898799999999993E-2</v>
      </c>
      <c r="J37" s="195">
        <v>6.6199999999999995E-2</v>
      </c>
      <c r="K37" s="204">
        <v>10007000</v>
      </c>
      <c r="L37" s="208">
        <v>6700000</v>
      </c>
      <c r="M37" s="188">
        <f>IF(L37=0,0,K37/L37)</f>
        <v>1.4935820895522387</v>
      </c>
    </row>
    <row r="38" spans="1:15" ht="12.75" customHeight="1" outlineLevel="1" x14ac:dyDescent="0.25">
      <c r="A38" s="191"/>
      <c r="B38" s="189"/>
      <c r="C38" s="192"/>
      <c r="D38" s="184" t="s">
        <v>140</v>
      </c>
      <c r="E38" s="185">
        <v>48990</v>
      </c>
      <c r="F38" s="186">
        <v>6.6250000000000003E-2</v>
      </c>
      <c r="G38" s="186">
        <v>6.5799999999999997E-2</v>
      </c>
      <c r="H38" s="186">
        <v>6.7500000000000004E-2</v>
      </c>
      <c r="I38" s="196">
        <v>6.6297900000000007E-2</v>
      </c>
      <c r="J38" s="197">
        <v>6.6799999999999998E-2</v>
      </c>
      <c r="K38" s="204">
        <v>8611000</v>
      </c>
      <c r="L38" s="207">
        <v>7600000</v>
      </c>
      <c r="M38" s="188">
        <f>IF(L38=0,0,K38/L38)</f>
        <v>1.1330263157894738</v>
      </c>
    </row>
    <row r="39" spans="1:15" ht="12.75" customHeight="1" outlineLevel="1" x14ac:dyDescent="0.25">
      <c r="A39" s="191"/>
      <c r="B39" s="189"/>
      <c r="C39" s="192"/>
      <c r="D39" s="184" t="s">
        <v>138</v>
      </c>
      <c r="E39" s="185">
        <v>50571</v>
      </c>
      <c r="F39" s="186">
        <v>7.1249999999999994E-2</v>
      </c>
      <c r="G39" s="186">
        <v>6.6500000000000004E-2</v>
      </c>
      <c r="H39" s="186">
        <v>6.9000000000000006E-2</v>
      </c>
      <c r="I39" s="187">
        <v>6.7092100000000002E-2</v>
      </c>
      <c r="J39" s="195">
        <v>6.7500000000000004E-2</v>
      </c>
      <c r="K39" s="204">
        <v>2849000</v>
      </c>
      <c r="L39" s="208">
        <v>2000000</v>
      </c>
      <c r="M39" s="188">
        <f>IF(L39=0,0,K39/L39)</f>
        <v>1.4245000000000001</v>
      </c>
    </row>
    <row r="40" spans="1:15" ht="12.75" customHeight="1" outlineLevel="1" x14ac:dyDescent="0.25">
      <c r="A40" s="191"/>
      <c r="B40" s="189"/>
      <c r="C40" s="192"/>
      <c r="D40" s="184" t="s">
        <v>137</v>
      </c>
      <c r="E40" s="185">
        <v>52397</v>
      </c>
      <c r="F40" s="186">
        <v>7.1249999999999994E-2</v>
      </c>
      <c r="G40" s="186">
        <v>6.8000000000000005E-2</v>
      </c>
      <c r="H40" s="186">
        <v>7.0000000000000007E-2</v>
      </c>
      <c r="I40" s="187">
        <v>6.8499199999999996E-2</v>
      </c>
      <c r="J40" s="196">
        <v>6.8699999999999997E-2</v>
      </c>
      <c r="K40" s="205">
        <v>2271000</v>
      </c>
      <c r="L40" s="208">
        <v>950000</v>
      </c>
      <c r="M40" s="188">
        <f>IF(L40=0,0,K40/L40)</f>
        <v>2.3905263157894736</v>
      </c>
    </row>
    <row r="41" spans="1:15" ht="12.75" customHeight="1" outlineLevel="1" x14ac:dyDescent="0.25">
      <c r="A41" s="191"/>
      <c r="B41" s="200"/>
      <c r="C41" s="192"/>
      <c r="D41" s="184" t="s">
        <v>146</v>
      </c>
      <c r="E41" s="185">
        <v>56445</v>
      </c>
      <c r="F41" s="186">
        <v>6.8750000000000006E-2</v>
      </c>
      <c r="G41" s="186">
        <v>6.7000000000000004E-2</v>
      </c>
      <c r="H41" s="186">
        <v>7.1999999999999995E-2</v>
      </c>
      <c r="I41" s="197">
        <v>6.9497600000000007E-2</v>
      </c>
      <c r="J41" s="196">
        <v>6.9900000000000004E-2</v>
      </c>
      <c r="K41" s="205">
        <v>5196600</v>
      </c>
      <c r="L41" s="207">
        <v>3700000</v>
      </c>
      <c r="M41" s="201">
        <f>IF(L41=0,0,K41/L41)</f>
        <v>1.4044864864864866</v>
      </c>
    </row>
    <row r="42" spans="1:15" s="1" customFormat="1" ht="12.75" customHeight="1" outlineLevel="1" x14ac:dyDescent="0.25">
      <c r="A42" s="293" t="s">
        <v>121</v>
      </c>
      <c r="B42" s="294"/>
      <c r="C42" s="295"/>
      <c r="D42" s="295"/>
      <c r="E42" s="295"/>
      <c r="F42" s="295"/>
      <c r="G42" s="295"/>
      <c r="H42" s="295"/>
      <c r="I42" s="295"/>
      <c r="J42" s="296"/>
      <c r="K42" s="190">
        <f>SUM(K35:K41)</f>
        <v>39802600</v>
      </c>
      <c r="L42" s="190">
        <f>SUM(L35:L41)</f>
        <v>21750000</v>
      </c>
      <c r="M42" s="193"/>
    </row>
    <row r="43" spans="1:15" ht="12.75" customHeight="1" outlineLevel="1" x14ac:dyDescent="0.2">
      <c r="A43" s="185">
        <v>45295</v>
      </c>
      <c r="B43" s="185">
        <v>45301</v>
      </c>
      <c r="C43" s="210" t="s">
        <v>155</v>
      </c>
      <c r="D43" s="184" t="s">
        <v>156</v>
      </c>
      <c r="E43" s="185">
        <v>47187</v>
      </c>
      <c r="F43" s="186">
        <v>4.3999999999999997E-2</v>
      </c>
      <c r="G43" s="186"/>
      <c r="H43" s="186"/>
      <c r="I43" s="187">
        <v>4.65E-2</v>
      </c>
      <c r="J43" s="187"/>
      <c r="K43" s="211" t="s">
        <v>70</v>
      </c>
      <c r="L43" s="211" t="str">
        <f t="shared" ref="L43:L48" si="8">K43</f>
        <v>USD500.000.000</v>
      </c>
      <c r="M43" s="212"/>
    </row>
    <row r="44" spans="1:15" ht="12.75" customHeight="1" outlineLevel="1" x14ac:dyDescent="0.25">
      <c r="A44" s="189"/>
      <c r="B44" s="189"/>
      <c r="C44" s="210"/>
      <c r="D44" s="184"/>
      <c r="E44" s="185"/>
      <c r="F44" s="186"/>
      <c r="G44" s="186"/>
      <c r="H44" s="186"/>
      <c r="I44" s="187"/>
      <c r="J44" s="187"/>
      <c r="K44" s="211">
        <f>15518*500000000/1000000</f>
        <v>7759000</v>
      </c>
      <c r="L44" s="211">
        <f t="shared" si="8"/>
        <v>7759000</v>
      </c>
      <c r="M44" s="212"/>
    </row>
    <row r="45" spans="1:15" ht="12.75" customHeight="1" outlineLevel="1" x14ac:dyDescent="0.25">
      <c r="A45" s="189"/>
      <c r="B45" s="185">
        <v>45301</v>
      </c>
      <c r="C45" s="210"/>
      <c r="D45" s="184" t="s">
        <v>157</v>
      </c>
      <c r="E45" s="185">
        <v>48985</v>
      </c>
      <c r="F45" s="186">
        <v>4.7E-2</v>
      </c>
      <c r="G45" s="186"/>
      <c r="H45" s="186"/>
      <c r="I45" s="187">
        <v>4.8500000000000001E-2</v>
      </c>
      <c r="J45" s="187"/>
      <c r="K45" s="211" t="s">
        <v>159</v>
      </c>
      <c r="L45" s="211" t="str">
        <f t="shared" si="8"/>
        <v>USD650.000.000</v>
      </c>
      <c r="M45" s="212"/>
    </row>
    <row r="46" spans="1:15" ht="12.75" customHeight="1" outlineLevel="1" x14ac:dyDescent="0.25">
      <c r="A46" s="189"/>
      <c r="B46" s="189"/>
      <c r="C46" s="210"/>
      <c r="D46" s="184"/>
      <c r="E46" s="185"/>
      <c r="F46" s="186"/>
      <c r="G46" s="186"/>
      <c r="H46" s="186"/>
      <c r="I46" s="187"/>
      <c r="J46" s="187"/>
      <c r="K46" s="211">
        <f>15518*650000000/1000000</f>
        <v>10086700</v>
      </c>
      <c r="L46" s="211">
        <f t="shared" si="8"/>
        <v>10086700</v>
      </c>
      <c r="M46" s="212"/>
    </row>
    <row r="47" spans="1:15" ht="12.75" customHeight="1" outlineLevel="1" x14ac:dyDescent="0.25">
      <c r="A47" s="189"/>
      <c r="B47" s="185">
        <v>45301</v>
      </c>
      <c r="C47" s="210"/>
      <c r="D47" s="184" t="s">
        <v>158</v>
      </c>
      <c r="E47" s="185">
        <v>56290</v>
      </c>
      <c r="F47" s="186">
        <v>5.0999999999999997E-2</v>
      </c>
      <c r="G47" s="186"/>
      <c r="H47" s="186"/>
      <c r="I47" s="187">
        <v>5.1999999999999998E-2</v>
      </c>
      <c r="J47" s="187"/>
      <c r="K47" s="211" t="s">
        <v>160</v>
      </c>
      <c r="L47" s="211" t="str">
        <f t="shared" si="8"/>
        <v>USD900.000.000</v>
      </c>
      <c r="M47" s="212"/>
    </row>
    <row r="48" spans="1:15" ht="12.75" customHeight="1" outlineLevel="1" x14ac:dyDescent="0.25">
      <c r="A48" s="189"/>
      <c r="B48" s="189"/>
      <c r="C48" s="210"/>
      <c r="D48" s="184"/>
      <c r="E48" s="185"/>
      <c r="F48" s="186"/>
      <c r="G48" s="186"/>
      <c r="H48" s="186"/>
      <c r="I48" s="187"/>
      <c r="J48" s="187"/>
      <c r="K48" s="211">
        <f>15518*900000000/1000000</f>
        <v>13966200</v>
      </c>
      <c r="L48" s="211">
        <f t="shared" si="8"/>
        <v>13966200</v>
      </c>
      <c r="M48" s="212"/>
    </row>
    <row r="49" spans="1:13" s="1" customFormat="1" ht="12.75" customHeight="1" outlineLevel="1" x14ac:dyDescent="0.25">
      <c r="A49" s="293" t="s">
        <v>121</v>
      </c>
      <c r="B49" s="295"/>
      <c r="C49" s="295"/>
      <c r="D49" s="295"/>
      <c r="E49" s="295"/>
      <c r="F49" s="295"/>
      <c r="G49" s="295"/>
      <c r="H49" s="295"/>
      <c r="I49" s="295"/>
      <c r="J49" s="296"/>
      <c r="K49" s="190">
        <f>SUM(K48,K46,K44)</f>
        <v>31811900</v>
      </c>
      <c r="L49" s="190">
        <f>SUM(L48,L46,L44)</f>
        <v>31811900</v>
      </c>
      <c r="M49" s="213"/>
    </row>
    <row r="50" spans="1:13" ht="12" customHeight="1" outlineLevel="1" x14ac:dyDescent="0.2">
      <c r="A50" s="164">
        <v>45300</v>
      </c>
      <c r="B50" s="164">
        <v>45302</v>
      </c>
      <c r="C50" s="160" t="s">
        <v>136</v>
      </c>
      <c r="D50" s="172" t="s">
        <v>148</v>
      </c>
      <c r="E50" s="158">
        <v>45482</v>
      </c>
      <c r="F50" s="166" t="s">
        <v>128</v>
      </c>
      <c r="G50" s="166">
        <v>6.4299999999999996E-2</v>
      </c>
      <c r="H50" s="166">
        <v>6.7500000000000004E-2</v>
      </c>
      <c r="I50" s="166">
        <v>6.4691700000000005E-2</v>
      </c>
      <c r="J50" s="166">
        <v>6.5000000000000002E-2</v>
      </c>
      <c r="K50" s="174">
        <v>2430000</v>
      </c>
      <c r="L50" s="174">
        <v>1200000</v>
      </c>
      <c r="M50" s="170">
        <f t="shared" ref="M50:M55" si="9">IF(L50=0,0,K50/L50)</f>
        <v>2.0249999999999999</v>
      </c>
    </row>
    <row r="51" spans="1:13" ht="12" customHeight="1" outlineLevel="1" x14ac:dyDescent="0.2">
      <c r="A51" s="164"/>
      <c r="B51" s="164"/>
      <c r="C51" s="160"/>
      <c r="D51" s="172" t="s">
        <v>149</v>
      </c>
      <c r="E51" s="158">
        <v>45572</v>
      </c>
      <c r="F51" s="166" t="s">
        <v>128</v>
      </c>
      <c r="G51" s="166">
        <v>6.4799999999999996E-2</v>
      </c>
      <c r="H51" s="166">
        <v>6.9000000000000006E-2</v>
      </c>
      <c r="I51" s="178">
        <v>6.4991999999999994E-2</v>
      </c>
      <c r="J51" s="180">
        <v>6.5199999999999994E-2</v>
      </c>
      <c r="K51" s="174">
        <v>5753000</v>
      </c>
      <c r="L51" s="179">
        <v>1000000</v>
      </c>
      <c r="M51" s="170">
        <f t="shared" si="9"/>
        <v>5.7530000000000001</v>
      </c>
    </row>
    <row r="52" spans="1:13" ht="12.75" customHeight="1" outlineLevel="1" x14ac:dyDescent="0.2">
      <c r="A52" s="164"/>
      <c r="B52" s="158"/>
      <c r="C52" s="160"/>
      <c r="D52" s="172" t="s">
        <v>150</v>
      </c>
      <c r="E52" s="158">
        <v>46218</v>
      </c>
      <c r="F52" s="166">
        <v>4.8750000000000002E-2</v>
      </c>
      <c r="G52" s="166">
        <v>6.4100000000000004E-2</v>
      </c>
      <c r="H52" s="166">
        <v>6.8000000000000005E-2</v>
      </c>
      <c r="I52" s="175">
        <v>6.5379699999999999E-2</v>
      </c>
      <c r="J52" s="180">
        <v>6.5699999999999995E-2</v>
      </c>
      <c r="K52" s="174">
        <v>7197500</v>
      </c>
      <c r="L52" s="174">
        <v>3350000</v>
      </c>
      <c r="M52" s="170">
        <f t="shared" si="9"/>
        <v>2.1485074626865672</v>
      </c>
    </row>
    <row r="53" spans="1:13" ht="12.75" customHeight="1" outlineLevel="1" x14ac:dyDescent="0.25">
      <c r="A53" s="156"/>
      <c r="B53" s="156"/>
      <c r="C53" s="156"/>
      <c r="D53" s="2" t="s">
        <v>151</v>
      </c>
      <c r="E53" s="158">
        <v>46949</v>
      </c>
      <c r="F53" s="177">
        <v>5.8749999999999997E-2</v>
      </c>
      <c r="G53" s="166">
        <v>6.3500000000000001E-2</v>
      </c>
      <c r="H53" s="166">
        <v>6.8000000000000005E-2</v>
      </c>
      <c r="I53" s="175">
        <v>6.5499500000000002E-2</v>
      </c>
      <c r="J53" s="166">
        <v>6.5600000000000006E-2</v>
      </c>
      <c r="K53" s="174">
        <v>6649000</v>
      </c>
      <c r="L53" s="174">
        <v>2300000</v>
      </c>
      <c r="M53" s="170">
        <f t="shared" si="9"/>
        <v>2.8908695652173915</v>
      </c>
    </row>
    <row r="54" spans="1:13" ht="12.75" customHeight="1" outlineLevel="1" x14ac:dyDescent="0.25">
      <c r="A54" s="156"/>
      <c r="B54" s="156"/>
      <c r="C54" s="156"/>
      <c r="D54" s="172" t="s">
        <v>53</v>
      </c>
      <c r="E54" s="158">
        <v>50086</v>
      </c>
      <c r="F54" s="166">
        <v>6.0999999999999999E-2</v>
      </c>
      <c r="G54" s="166">
        <v>6.5500000000000003E-2</v>
      </c>
      <c r="H54" s="166">
        <v>6.8099999999999994E-2</v>
      </c>
      <c r="I54" s="175">
        <v>6.69651E-2</v>
      </c>
      <c r="J54" s="175">
        <v>6.7000000000000004E-2</v>
      </c>
      <c r="K54" s="174">
        <v>922000</v>
      </c>
      <c r="L54" s="174">
        <v>150000</v>
      </c>
      <c r="M54" s="170">
        <f t="shared" si="9"/>
        <v>6.1466666666666665</v>
      </c>
    </row>
    <row r="55" spans="1:13" ht="12.75" customHeight="1" outlineLevel="1" x14ac:dyDescent="0.25">
      <c r="A55" s="156"/>
      <c r="B55" s="156"/>
      <c r="C55" s="156"/>
      <c r="D55" s="172" t="s">
        <v>152</v>
      </c>
      <c r="E55" s="158">
        <v>51697</v>
      </c>
      <c r="F55" s="166">
        <v>6.6250000000000003E-2</v>
      </c>
      <c r="G55" s="166">
        <v>6.8500000000000005E-2</v>
      </c>
      <c r="H55" s="166">
        <v>7.0000000000000007E-2</v>
      </c>
      <c r="I55" s="175">
        <v>6.8895300000000007E-2</v>
      </c>
      <c r="J55" s="175">
        <v>6.9000000000000006E-2</v>
      </c>
      <c r="K55" s="174">
        <v>2658500</v>
      </c>
      <c r="L55" s="174">
        <v>2350000</v>
      </c>
      <c r="M55" s="170">
        <f t="shared" si="9"/>
        <v>1.1312765957446809</v>
      </c>
    </row>
    <row r="56" spans="1:13" ht="12.75" customHeight="1" outlineLevel="1" x14ac:dyDescent="0.25">
      <c r="A56" s="181"/>
      <c r="B56" s="156"/>
      <c r="C56" s="182"/>
      <c r="D56" s="172" t="s">
        <v>142</v>
      </c>
      <c r="E56" s="158">
        <v>54772</v>
      </c>
      <c r="F56" s="166">
        <v>6.8750000000000006E-2</v>
      </c>
      <c r="G56" s="166">
        <v>6.9000000000000006E-2</v>
      </c>
      <c r="H56" s="166">
        <v>7.0499999999999993E-2</v>
      </c>
      <c r="I56" s="175">
        <v>6.9791199999999998E-2</v>
      </c>
      <c r="J56" s="175">
        <v>6.9900000000000004E-2</v>
      </c>
      <c r="K56" s="174">
        <v>2693500</v>
      </c>
      <c r="L56" s="174">
        <v>1650000</v>
      </c>
      <c r="M56" s="170">
        <f t="shared" ref="M56" si="10">IF(L56=0,0,K56/L56)</f>
        <v>1.6324242424242423</v>
      </c>
    </row>
    <row r="57" spans="1:13" s="1" customFormat="1" ht="12.75" customHeight="1" outlineLevel="1" x14ac:dyDescent="0.25">
      <c r="A57" s="297" t="s">
        <v>121</v>
      </c>
      <c r="B57" s="298"/>
      <c r="C57" s="298"/>
      <c r="D57" s="298"/>
      <c r="E57" s="298"/>
      <c r="F57" s="298"/>
      <c r="G57" s="298"/>
      <c r="H57" s="298"/>
      <c r="I57" s="298"/>
      <c r="J57" s="299"/>
      <c r="K57" s="176">
        <f>SUM(K50:K56)</f>
        <v>28303500</v>
      </c>
      <c r="L57" s="176">
        <f>SUM(L50:L56)</f>
        <v>12000000</v>
      </c>
      <c r="M57" s="165"/>
    </row>
    <row r="58" spans="1:13" ht="12" customHeight="1" outlineLevel="1" x14ac:dyDescent="0.2">
      <c r="A58" s="198">
        <v>45307</v>
      </c>
      <c r="B58" s="198">
        <v>45309</v>
      </c>
      <c r="C58" s="199" t="s">
        <v>136</v>
      </c>
      <c r="D58" s="184" t="s">
        <v>153</v>
      </c>
      <c r="E58" s="185">
        <v>45399</v>
      </c>
      <c r="F58" s="186" t="s">
        <v>128</v>
      </c>
      <c r="G58" s="202">
        <v>6.4000000000000001E-2</v>
      </c>
      <c r="H58" s="202">
        <v>6.5199999999999994E-2</v>
      </c>
      <c r="I58" s="194">
        <v>6.4000000000000001E-2</v>
      </c>
      <c r="J58" s="194">
        <v>6.4000000000000001E-2</v>
      </c>
      <c r="K58" s="209">
        <v>3255000</v>
      </c>
      <c r="L58" s="206">
        <v>1000000</v>
      </c>
      <c r="M58" s="188">
        <f t="shared" ref="M58:M59" si="11">IF(L58=0,0,K58/L58)</f>
        <v>3.2549999999999999</v>
      </c>
    </row>
    <row r="59" spans="1:13" ht="12" customHeight="1" outlineLevel="1" x14ac:dyDescent="0.2">
      <c r="A59" s="198"/>
      <c r="B59" s="183"/>
      <c r="C59" s="199"/>
      <c r="D59" s="184" t="s">
        <v>154</v>
      </c>
      <c r="E59" s="185">
        <v>45673</v>
      </c>
      <c r="F59" s="186" t="s">
        <v>128</v>
      </c>
      <c r="G59" s="186">
        <v>6.4899999999999999E-2</v>
      </c>
      <c r="H59" s="186">
        <v>6.9000000000000006E-2</v>
      </c>
      <c r="I59" s="202">
        <v>6.4899999999999999E-2</v>
      </c>
      <c r="J59" s="203">
        <v>6.4899999999999999E-2</v>
      </c>
      <c r="K59" s="204">
        <v>10477000</v>
      </c>
      <c r="L59" s="207">
        <v>200000</v>
      </c>
      <c r="M59" s="188">
        <f t="shared" si="11"/>
        <v>52.384999999999998</v>
      </c>
    </row>
    <row r="60" spans="1:13" ht="12.75" customHeight="1" outlineLevel="1" x14ac:dyDescent="0.2">
      <c r="A60" s="198"/>
      <c r="B60" s="185"/>
      <c r="C60" s="199"/>
      <c r="D60" s="184" t="s">
        <v>141</v>
      </c>
      <c r="E60" s="185">
        <v>47223</v>
      </c>
      <c r="F60" s="186">
        <v>6.8750000000000006E-2</v>
      </c>
      <c r="G60" s="186">
        <v>6.4799999999999996E-2</v>
      </c>
      <c r="H60" s="186">
        <v>6.7299999999999999E-2</v>
      </c>
      <c r="I60" s="187">
        <v>6.5410599999999999E-2</v>
      </c>
      <c r="J60" s="195">
        <v>6.5500000000000003E-2</v>
      </c>
      <c r="K60" s="204">
        <v>23592700</v>
      </c>
      <c r="L60" s="208">
        <v>8850000</v>
      </c>
      <c r="M60" s="188">
        <f>IF(L60=0,0,K60/L60)</f>
        <v>2.6658418079096045</v>
      </c>
    </row>
    <row r="61" spans="1:13" ht="12.75" customHeight="1" outlineLevel="1" x14ac:dyDescent="0.25">
      <c r="A61" s="191"/>
      <c r="B61" s="189"/>
      <c r="C61" s="192"/>
      <c r="D61" s="184" t="s">
        <v>140</v>
      </c>
      <c r="E61" s="185">
        <v>48990</v>
      </c>
      <c r="F61" s="186">
        <v>6.6250000000000003E-2</v>
      </c>
      <c r="G61" s="186">
        <v>6.6400000000000001E-2</v>
      </c>
      <c r="H61" s="186">
        <v>6.83E-2</v>
      </c>
      <c r="I61" s="196">
        <v>6.6899799999999995E-2</v>
      </c>
      <c r="J61" s="197">
        <v>6.7000000000000004E-2</v>
      </c>
      <c r="K61" s="204">
        <v>16712100</v>
      </c>
      <c r="L61" s="207">
        <v>5050000</v>
      </c>
      <c r="M61" s="188">
        <f>IF(L61=0,0,K61/L61)</f>
        <v>3.3093267326732674</v>
      </c>
    </row>
    <row r="62" spans="1:13" ht="12.75" customHeight="1" outlineLevel="1" x14ac:dyDescent="0.25">
      <c r="A62" s="191"/>
      <c r="B62" s="189"/>
      <c r="C62" s="192"/>
      <c r="D62" s="184" t="s">
        <v>138</v>
      </c>
      <c r="E62" s="185">
        <v>50571</v>
      </c>
      <c r="F62" s="186">
        <v>7.1249999999999994E-2</v>
      </c>
      <c r="G62" s="186">
        <v>6.7100000000000007E-2</v>
      </c>
      <c r="H62" s="186">
        <v>6.9800000000000001E-2</v>
      </c>
      <c r="I62" s="187">
        <v>6.7893800000000004E-2</v>
      </c>
      <c r="J62" s="195">
        <v>6.8099999999999994E-2</v>
      </c>
      <c r="K62" s="204">
        <v>2822300</v>
      </c>
      <c r="L62" s="208">
        <v>850000</v>
      </c>
      <c r="M62" s="188">
        <f>IF(L62=0,0,K62/L62)</f>
        <v>3.3203529411764707</v>
      </c>
    </row>
    <row r="63" spans="1:13" ht="12.75" customHeight="1" outlineLevel="1" x14ac:dyDescent="0.25">
      <c r="A63" s="191"/>
      <c r="B63" s="189"/>
      <c r="C63" s="192"/>
      <c r="D63" s="184" t="s">
        <v>137</v>
      </c>
      <c r="E63" s="185">
        <v>52397</v>
      </c>
      <c r="F63" s="186">
        <v>7.1249999999999994E-2</v>
      </c>
      <c r="G63" s="186">
        <v>6.8699999999999997E-2</v>
      </c>
      <c r="H63" s="186">
        <v>7.0000000000000007E-2</v>
      </c>
      <c r="I63" s="187">
        <v>6.89998E-2</v>
      </c>
      <c r="J63" s="196">
        <v>6.9199999999999998E-2</v>
      </c>
      <c r="K63" s="205">
        <v>4346200</v>
      </c>
      <c r="L63" s="208">
        <v>2900000</v>
      </c>
      <c r="M63" s="188">
        <f>IF(L63=0,0,K63/L63)</f>
        <v>1.4986896551724138</v>
      </c>
    </row>
    <row r="64" spans="1:13" ht="12.75" customHeight="1" outlineLevel="1" x14ac:dyDescent="0.25">
      <c r="A64" s="191"/>
      <c r="B64" s="200"/>
      <c r="C64" s="192"/>
      <c r="D64" s="184" t="s">
        <v>146</v>
      </c>
      <c r="E64" s="185">
        <v>56445</v>
      </c>
      <c r="F64" s="186">
        <v>6.8750000000000006E-2</v>
      </c>
      <c r="G64" s="186">
        <v>6.9199999999999998E-2</v>
      </c>
      <c r="H64" s="186">
        <v>7.0699999999999999E-2</v>
      </c>
      <c r="I64" s="197">
        <v>6.9698099999999999E-2</v>
      </c>
      <c r="J64" s="196">
        <v>6.9900000000000004E-2</v>
      </c>
      <c r="K64" s="205">
        <v>6358000</v>
      </c>
      <c r="L64" s="207">
        <v>5150000</v>
      </c>
      <c r="M64" s="201">
        <f>IF(L64=0,0,K64/L64)</f>
        <v>1.2345631067961165</v>
      </c>
    </row>
    <row r="65" spans="1:13" s="1" customFormat="1" ht="12.75" customHeight="1" outlineLevel="1" x14ac:dyDescent="0.25">
      <c r="A65" s="293" t="s">
        <v>121</v>
      </c>
      <c r="B65" s="294"/>
      <c r="C65" s="295"/>
      <c r="D65" s="295"/>
      <c r="E65" s="295"/>
      <c r="F65" s="295"/>
      <c r="G65" s="295"/>
      <c r="H65" s="295"/>
      <c r="I65" s="295"/>
      <c r="J65" s="296"/>
      <c r="K65" s="190">
        <f>SUM(K58:K64)</f>
        <v>67563300</v>
      </c>
      <c r="L65" s="190">
        <f>SUM(L58:L64)</f>
        <v>24000000</v>
      </c>
      <c r="M65" s="193"/>
    </row>
    <row r="66" spans="1:13" s="1" customFormat="1" ht="12.75" customHeight="1" outlineLevel="1" x14ac:dyDescent="0.25">
      <c r="A66" s="164">
        <v>45314</v>
      </c>
      <c r="B66" s="164">
        <v>45316</v>
      </c>
      <c r="C66" s="160" t="s">
        <v>136</v>
      </c>
      <c r="D66" s="172" t="s">
        <v>148</v>
      </c>
      <c r="E66" s="158">
        <v>45482</v>
      </c>
      <c r="F66" s="166" t="s">
        <v>128</v>
      </c>
      <c r="G66" s="166">
        <v>6.5500000000000003E-2</v>
      </c>
      <c r="H66" s="166">
        <v>6.7000000000000004E-2</v>
      </c>
      <c r="I66" s="166">
        <v>0</v>
      </c>
      <c r="J66" s="166">
        <v>0</v>
      </c>
      <c r="K66" s="174">
        <v>2530000</v>
      </c>
      <c r="L66" s="214">
        <v>0</v>
      </c>
      <c r="M66" s="170">
        <f t="shared" ref="M66:M72" si="12">IF(L66=0,0,K66/L66)</f>
        <v>0</v>
      </c>
    </row>
    <row r="67" spans="1:13" s="1" customFormat="1" ht="12.75" customHeight="1" outlineLevel="1" x14ac:dyDescent="0.25">
      <c r="A67" s="164"/>
      <c r="B67" s="164"/>
      <c r="C67" s="160"/>
      <c r="D67" s="172" t="s">
        <v>149</v>
      </c>
      <c r="E67" s="158">
        <v>45572</v>
      </c>
      <c r="F67" s="166" t="s">
        <v>128</v>
      </c>
      <c r="G67" s="166">
        <v>6.4299999999999996E-2</v>
      </c>
      <c r="H67" s="166">
        <v>6.7699999999999996E-2</v>
      </c>
      <c r="I67" s="178">
        <v>6.4650799999999994E-2</v>
      </c>
      <c r="J67" s="180">
        <v>6.5000000000000002E-2</v>
      </c>
      <c r="K67" s="174">
        <v>5509500</v>
      </c>
      <c r="L67" s="179">
        <v>1850000</v>
      </c>
      <c r="M67" s="170">
        <f t="shared" si="12"/>
        <v>2.978108108108108</v>
      </c>
    </row>
    <row r="68" spans="1:13" s="1" customFormat="1" ht="12.75" customHeight="1" outlineLevel="1" x14ac:dyDescent="0.25">
      <c r="A68" s="164"/>
      <c r="B68" s="158"/>
      <c r="C68" s="160"/>
      <c r="D68" s="172" t="s">
        <v>150</v>
      </c>
      <c r="E68" s="158">
        <v>46218</v>
      </c>
      <c r="F68" s="166">
        <v>4.8750000000000002E-2</v>
      </c>
      <c r="G68" s="166">
        <v>6.4000000000000001E-2</v>
      </c>
      <c r="H68" s="166">
        <v>6.6699999999999995E-2</v>
      </c>
      <c r="I68" s="175">
        <v>6.4999100000000004E-2</v>
      </c>
      <c r="J68" s="180">
        <v>6.54E-2</v>
      </c>
      <c r="K68" s="174">
        <v>7078000</v>
      </c>
      <c r="L68" s="174">
        <v>5100000</v>
      </c>
      <c r="M68" s="170">
        <f t="shared" si="12"/>
        <v>1.387843137254902</v>
      </c>
    </row>
    <row r="69" spans="1:13" s="1" customFormat="1" ht="12.75" customHeight="1" outlineLevel="1" x14ac:dyDescent="0.25">
      <c r="A69" s="156"/>
      <c r="B69" s="156"/>
      <c r="C69" s="156"/>
      <c r="D69" s="2" t="s">
        <v>151</v>
      </c>
      <c r="E69" s="158">
        <v>46949</v>
      </c>
      <c r="F69" s="177">
        <v>5.8749999999999997E-2</v>
      </c>
      <c r="G69" s="166">
        <v>6.4399999999999999E-2</v>
      </c>
      <c r="H69" s="166">
        <v>6.6000000000000003E-2</v>
      </c>
      <c r="I69" s="175">
        <v>6.4698400000000003E-2</v>
      </c>
      <c r="J69" s="166">
        <v>6.4899999999999999E-2</v>
      </c>
      <c r="K69" s="174">
        <v>3697000</v>
      </c>
      <c r="L69" s="174">
        <v>450000</v>
      </c>
      <c r="M69" s="170">
        <f t="shared" si="12"/>
        <v>8.2155555555555555</v>
      </c>
    </row>
    <row r="70" spans="1:13" s="1" customFormat="1" ht="12.75" customHeight="1" outlineLevel="1" x14ac:dyDescent="0.25">
      <c r="A70" s="156"/>
      <c r="B70" s="156"/>
      <c r="C70" s="156"/>
      <c r="D70" s="172" t="s">
        <v>139</v>
      </c>
      <c r="E70" s="158">
        <v>47376</v>
      </c>
      <c r="F70" s="166">
        <v>6.6250000000000003E-2</v>
      </c>
      <c r="G70" s="166">
        <v>6.4500000000000002E-2</v>
      </c>
      <c r="H70" s="166">
        <v>6.6500000000000004E-2</v>
      </c>
      <c r="I70" s="175">
        <v>6.5380999999999995E-2</v>
      </c>
      <c r="J70" s="175">
        <v>6.6000000000000003E-2</v>
      </c>
      <c r="K70" s="174">
        <v>2231000</v>
      </c>
      <c r="L70" s="174">
        <v>2200000</v>
      </c>
      <c r="M70" s="170">
        <f t="shared" si="12"/>
        <v>1.0140909090909092</v>
      </c>
    </row>
    <row r="71" spans="1:13" s="1" customFormat="1" ht="12.75" customHeight="1" outlineLevel="1" x14ac:dyDescent="0.25">
      <c r="A71" s="156"/>
      <c r="B71" s="156"/>
      <c r="C71" s="156"/>
      <c r="D71" s="172" t="s">
        <v>53</v>
      </c>
      <c r="E71" s="158">
        <v>50086</v>
      </c>
      <c r="F71" s="166">
        <v>6.0999999999999999E-2</v>
      </c>
      <c r="G71" s="166">
        <v>6.5600000000000006E-2</v>
      </c>
      <c r="H71" s="166">
        <v>6.7500000000000004E-2</v>
      </c>
      <c r="I71" s="175">
        <v>6.6679100000000005E-2</v>
      </c>
      <c r="J71" s="175">
        <v>6.7500000000000004E-2</v>
      </c>
      <c r="K71" s="174">
        <v>1414500</v>
      </c>
      <c r="L71" s="174">
        <v>1300000</v>
      </c>
      <c r="M71" s="170">
        <f t="shared" si="12"/>
        <v>1.0880769230769232</v>
      </c>
    </row>
    <row r="72" spans="1:13" s="1" customFormat="1" ht="12.75" customHeight="1" outlineLevel="1" x14ac:dyDescent="0.25">
      <c r="A72" s="181"/>
      <c r="B72" s="156"/>
      <c r="C72" s="182"/>
      <c r="D72" s="172" t="s">
        <v>142</v>
      </c>
      <c r="E72" s="158">
        <v>54772</v>
      </c>
      <c r="F72" s="166">
        <v>6.8750000000000006E-2</v>
      </c>
      <c r="G72" s="166">
        <v>6.9199999999999998E-2</v>
      </c>
      <c r="H72" s="166">
        <v>7.0999999999999994E-2</v>
      </c>
      <c r="I72" s="175">
        <v>6.9791300000000001E-2</v>
      </c>
      <c r="J72" s="175">
        <v>7.0000000000000007E-2</v>
      </c>
      <c r="K72" s="174">
        <v>1308000</v>
      </c>
      <c r="L72" s="174">
        <v>1100000</v>
      </c>
      <c r="M72" s="170">
        <f t="shared" si="12"/>
        <v>1.1890909090909092</v>
      </c>
    </row>
    <row r="73" spans="1:13" s="1" customFormat="1" ht="12.75" customHeight="1" outlineLevel="1" x14ac:dyDescent="0.25">
      <c r="A73" s="297" t="s">
        <v>121</v>
      </c>
      <c r="B73" s="298"/>
      <c r="C73" s="298"/>
      <c r="D73" s="298"/>
      <c r="E73" s="298"/>
      <c r="F73" s="298"/>
      <c r="G73" s="298"/>
      <c r="H73" s="298"/>
      <c r="I73" s="298"/>
      <c r="J73" s="299"/>
      <c r="K73" s="176">
        <f>SUM(K66:K72)</f>
        <v>23768000</v>
      </c>
      <c r="L73" s="176">
        <f>SUM(L66:L72)</f>
        <v>12000000</v>
      </c>
      <c r="M73" s="165"/>
    </row>
    <row r="74" spans="1:13" ht="12.75" customHeight="1" x14ac:dyDescent="0.25">
      <c r="A74" s="300" t="s">
        <v>143</v>
      </c>
      <c r="B74" s="301"/>
      <c r="C74" s="301"/>
      <c r="D74" s="301"/>
      <c r="E74" s="301"/>
      <c r="F74" s="301"/>
      <c r="G74" s="301"/>
      <c r="H74" s="301"/>
      <c r="I74" s="301"/>
      <c r="J74" s="302"/>
      <c r="K74" s="173">
        <f>K11+K19+K26+K29+K34+K42+K49+K57+K65+K73</f>
        <v>271055100</v>
      </c>
      <c r="L74" s="173">
        <f>L11+L19+L26+L29+L34+L42+L49+L57+L65+L73</f>
        <v>140631900</v>
      </c>
      <c r="M74" s="165"/>
    </row>
    <row r="75" spans="1:13" ht="12.75" customHeight="1" x14ac:dyDescent="0.25">
      <c r="A75" s="300" t="s">
        <v>161</v>
      </c>
      <c r="B75" s="301"/>
      <c r="C75" s="301"/>
      <c r="D75" s="301"/>
      <c r="E75" s="301"/>
      <c r="F75" s="301"/>
      <c r="G75" s="301"/>
      <c r="H75" s="301"/>
      <c r="I75" s="301"/>
      <c r="J75" s="302"/>
      <c r="K75" s="173">
        <f>+K74</f>
        <v>271055100</v>
      </c>
      <c r="L75" s="173">
        <f>+L74</f>
        <v>140631900</v>
      </c>
      <c r="M75" s="165"/>
    </row>
    <row r="76" spans="1:13" ht="12" customHeight="1" outlineLevel="1" x14ac:dyDescent="0.2">
      <c r="A76" s="198">
        <v>45321</v>
      </c>
      <c r="B76" s="215">
        <v>45323</v>
      </c>
      <c r="C76" s="199" t="s">
        <v>136</v>
      </c>
      <c r="D76" s="184" t="s">
        <v>163</v>
      </c>
      <c r="E76" s="185">
        <v>45413</v>
      </c>
      <c r="F76" s="186" t="s">
        <v>128</v>
      </c>
      <c r="G76" s="202">
        <v>6.3799999999999996E-2</v>
      </c>
      <c r="H76" s="202">
        <v>6.5000000000000002E-2</v>
      </c>
      <c r="I76" s="194">
        <v>6.3995999999999997E-2</v>
      </c>
      <c r="J76" s="194">
        <v>6.4000000000000001E-2</v>
      </c>
      <c r="K76" s="216">
        <v>3460000</v>
      </c>
      <c r="L76" s="217">
        <v>1000000</v>
      </c>
      <c r="M76" s="188">
        <f t="shared" ref="M76:M77" si="13">IF(L76=0,0,K76/L76)</f>
        <v>3.46</v>
      </c>
    </row>
    <row r="77" spans="1:13" ht="12" customHeight="1" outlineLevel="1" x14ac:dyDescent="0.2">
      <c r="A77" s="198"/>
      <c r="B77" s="183"/>
      <c r="C77" s="199"/>
      <c r="D77" s="184" t="s">
        <v>154</v>
      </c>
      <c r="E77" s="185">
        <v>45673</v>
      </c>
      <c r="F77" s="186" t="s">
        <v>128</v>
      </c>
      <c r="G77" s="186">
        <v>6.4799999999999996E-2</v>
      </c>
      <c r="H77" s="186">
        <v>6.7000000000000004E-2</v>
      </c>
      <c r="I77" s="202">
        <v>6.4869599999999999E-2</v>
      </c>
      <c r="J77" s="203">
        <v>6.5100000000000005E-2</v>
      </c>
      <c r="K77" s="216">
        <v>7079000</v>
      </c>
      <c r="L77" s="218">
        <v>900000</v>
      </c>
      <c r="M77" s="188">
        <f t="shared" si="13"/>
        <v>7.8655555555555559</v>
      </c>
    </row>
    <row r="78" spans="1:13" ht="12.75" customHeight="1" outlineLevel="1" x14ac:dyDescent="0.2">
      <c r="A78" s="198"/>
      <c r="B78" s="185"/>
      <c r="C78" s="199"/>
      <c r="D78" s="184" t="s">
        <v>141</v>
      </c>
      <c r="E78" s="185">
        <v>47223</v>
      </c>
      <c r="F78" s="186">
        <v>6.8750000000000006E-2</v>
      </c>
      <c r="G78" s="186">
        <v>6.5000000000000002E-2</v>
      </c>
      <c r="H78" s="186">
        <v>6.6699999999999995E-2</v>
      </c>
      <c r="I78" s="187">
        <v>6.5369399999999994E-2</v>
      </c>
      <c r="J78" s="195">
        <v>6.5500000000000003E-2</v>
      </c>
      <c r="K78" s="216">
        <v>25609500</v>
      </c>
      <c r="L78" s="219">
        <v>8350000</v>
      </c>
      <c r="M78" s="188">
        <f>IF(L78=0,0,K78/L78)</f>
        <v>3.067005988023952</v>
      </c>
    </row>
    <row r="79" spans="1:13" ht="12.75" customHeight="1" outlineLevel="1" x14ac:dyDescent="0.25">
      <c r="A79" s="191"/>
      <c r="B79" s="189"/>
      <c r="C79" s="192"/>
      <c r="D79" s="184" t="s">
        <v>162</v>
      </c>
      <c r="E79" s="185">
        <v>47771</v>
      </c>
      <c r="F79" s="186">
        <v>7.3749999999999996E-2</v>
      </c>
      <c r="G79" s="186">
        <v>6.54E-2</v>
      </c>
      <c r="H79" s="186">
        <v>7.3700000000000002E-2</v>
      </c>
      <c r="I79" s="202">
        <v>6.57697E-2</v>
      </c>
      <c r="J79" s="202">
        <v>6.59E-2</v>
      </c>
      <c r="K79" s="216">
        <v>2650000</v>
      </c>
      <c r="L79" s="219">
        <v>250000</v>
      </c>
      <c r="M79" s="188">
        <f t="shared" ref="M79" si="14">IF(L79=0,0,K79/L79)</f>
        <v>10.6</v>
      </c>
    </row>
    <row r="80" spans="1:13" ht="12.75" customHeight="1" outlineLevel="1" x14ac:dyDescent="0.25">
      <c r="A80" s="191"/>
      <c r="B80" s="189"/>
      <c r="C80" s="192"/>
      <c r="D80" s="184" t="s">
        <v>140</v>
      </c>
      <c r="E80" s="185">
        <v>48990</v>
      </c>
      <c r="F80" s="186">
        <v>6.6250000000000003E-2</v>
      </c>
      <c r="G80" s="186">
        <v>6.6100000000000006E-2</v>
      </c>
      <c r="H80" s="186">
        <v>7.0000000000000007E-2</v>
      </c>
      <c r="I80" s="196">
        <v>6.6298999999999997E-2</v>
      </c>
      <c r="J80" s="197">
        <v>6.6500000000000004E-2</v>
      </c>
      <c r="K80" s="216">
        <v>18593000</v>
      </c>
      <c r="L80" s="218">
        <v>8050000</v>
      </c>
      <c r="M80" s="188">
        <f>IF(L80=0,0,K80/L80)</f>
        <v>2.3096894409937887</v>
      </c>
    </row>
    <row r="81" spans="1:13" ht="12.75" customHeight="1" outlineLevel="1" x14ac:dyDescent="0.25">
      <c r="A81" s="191"/>
      <c r="B81" s="189"/>
      <c r="C81" s="192"/>
      <c r="D81" s="184" t="s">
        <v>138</v>
      </c>
      <c r="E81" s="185">
        <v>50571</v>
      </c>
      <c r="F81" s="186">
        <v>7.1249999999999994E-2</v>
      </c>
      <c r="G81" s="186">
        <v>6.7599999999999993E-2</v>
      </c>
      <c r="H81" s="186">
        <v>6.9500000000000006E-2</v>
      </c>
      <c r="I81" s="187">
        <v>6.7899100000000004E-2</v>
      </c>
      <c r="J81" s="195">
        <v>6.8000000000000005E-2</v>
      </c>
      <c r="K81" s="216">
        <v>4300000</v>
      </c>
      <c r="L81" s="219">
        <v>2250000</v>
      </c>
      <c r="M81" s="188">
        <f>IF(L81=0,0,K81/L81)</f>
        <v>1.9111111111111112</v>
      </c>
    </row>
    <row r="82" spans="1:13" ht="12.75" customHeight="1" outlineLevel="1" x14ac:dyDescent="0.25">
      <c r="A82" s="191"/>
      <c r="B82" s="189"/>
      <c r="C82" s="192"/>
      <c r="D82" s="184" t="s">
        <v>137</v>
      </c>
      <c r="E82" s="185">
        <v>52397</v>
      </c>
      <c r="F82" s="186">
        <v>7.1249999999999994E-2</v>
      </c>
      <c r="G82" s="186">
        <v>6.88E-2</v>
      </c>
      <c r="H82" s="186">
        <v>7.0499999999999993E-2</v>
      </c>
      <c r="I82" s="187">
        <v>6.9042999999999993E-2</v>
      </c>
      <c r="J82" s="196">
        <v>6.9099999999999995E-2</v>
      </c>
      <c r="K82" s="220">
        <v>4935900</v>
      </c>
      <c r="L82" s="219">
        <v>1500000</v>
      </c>
      <c r="M82" s="188">
        <f>IF(L82=0,0,K82/L82)</f>
        <v>3.2906</v>
      </c>
    </row>
    <row r="83" spans="1:13" ht="12.75" customHeight="1" outlineLevel="1" x14ac:dyDescent="0.25">
      <c r="A83" s="191"/>
      <c r="B83" s="200"/>
      <c r="C83" s="192"/>
      <c r="D83" s="184" t="s">
        <v>146</v>
      </c>
      <c r="E83" s="185">
        <v>56445</v>
      </c>
      <c r="F83" s="186">
        <v>6.8750000000000006E-2</v>
      </c>
      <c r="G83" s="186">
        <v>6.9199999999999998E-2</v>
      </c>
      <c r="H83" s="186">
        <v>7.0400000000000004E-2</v>
      </c>
      <c r="I83" s="197">
        <v>6.9499099999999994E-2</v>
      </c>
      <c r="J83" s="196">
        <v>6.9599999999999995E-2</v>
      </c>
      <c r="K83" s="220">
        <v>6614800</v>
      </c>
      <c r="L83" s="218">
        <v>1700000</v>
      </c>
      <c r="M83" s="201">
        <f>IF(L83=0,0,K83/L83)</f>
        <v>3.8910588235294119</v>
      </c>
    </row>
    <row r="84" spans="1:13" s="1" customFormat="1" ht="12.75" customHeight="1" outlineLevel="1" x14ac:dyDescent="0.25">
      <c r="A84" s="293" t="s">
        <v>121</v>
      </c>
      <c r="B84" s="294"/>
      <c r="C84" s="295"/>
      <c r="D84" s="295"/>
      <c r="E84" s="295"/>
      <c r="F84" s="295"/>
      <c r="G84" s="295"/>
      <c r="H84" s="295"/>
      <c r="I84" s="295"/>
      <c r="J84" s="296"/>
      <c r="K84" s="190">
        <f>SUM(K76:K83)</f>
        <v>73242200</v>
      </c>
      <c r="L84" s="190">
        <f>SUM(L76:L83)</f>
        <v>24000000</v>
      </c>
      <c r="M84" s="193"/>
    </row>
    <row r="85" spans="1:13" ht="12.75" customHeight="1" x14ac:dyDescent="0.2">
      <c r="A85" s="164">
        <v>45327</v>
      </c>
      <c r="B85" s="164">
        <v>45329</v>
      </c>
      <c r="C85" s="160" t="s">
        <v>136</v>
      </c>
      <c r="D85" s="172" t="s">
        <v>177</v>
      </c>
      <c r="E85" s="158">
        <v>45509</v>
      </c>
      <c r="F85" s="166" t="s">
        <v>128</v>
      </c>
      <c r="G85" s="166">
        <v>6.4000000000000001E-2</v>
      </c>
      <c r="H85" s="166">
        <v>6.4000000000000001E-2</v>
      </c>
      <c r="I85" s="166">
        <v>6.4000000000000001E-2</v>
      </c>
      <c r="J85" s="166">
        <v>6.4000000000000001E-2</v>
      </c>
      <c r="K85" s="174">
        <v>2025000</v>
      </c>
      <c r="L85" s="235">
        <v>100000</v>
      </c>
      <c r="M85" s="170">
        <f>IF(L85=0,0,K85/L85)</f>
        <v>20.25</v>
      </c>
    </row>
    <row r="86" spans="1:13" ht="12.75" customHeight="1" x14ac:dyDescent="0.2">
      <c r="A86" s="164"/>
      <c r="B86" s="164"/>
      <c r="C86" s="160"/>
      <c r="D86" s="172" t="s">
        <v>178</v>
      </c>
      <c r="E86" s="158">
        <v>45599</v>
      </c>
      <c r="F86" s="166" t="s">
        <v>128</v>
      </c>
      <c r="G86" s="166">
        <v>6.4799999999999996E-2</v>
      </c>
      <c r="H86" s="166">
        <v>6.5500000000000003E-2</v>
      </c>
      <c r="I86" s="178">
        <v>0</v>
      </c>
      <c r="J86" s="180">
        <v>0</v>
      </c>
      <c r="K86" s="174">
        <v>4830000</v>
      </c>
      <c r="L86" s="236">
        <v>0</v>
      </c>
      <c r="M86" s="170">
        <f t="shared" ref="M86:M91" si="15">IF(L86=0,0,K86/L86)</f>
        <v>0</v>
      </c>
    </row>
    <row r="87" spans="1:13" ht="12.75" customHeight="1" x14ac:dyDescent="0.2">
      <c r="A87" s="164"/>
      <c r="B87" s="158"/>
      <c r="C87" s="160"/>
      <c r="D87" s="172" t="s">
        <v>150</v>
      </c>
      <c r="E87" s="158">
        <v>45488</v>
      </c>
      <c r="F87" s="166">
        <v>4.8750000000000002E-2</v>
      </c>
      <c r="G87" s="166">
        <v>6.4299999999999996E-2</v>
      </c>
      <c r="H87" s="166">
        <v>6.6699999999999995E-2</v>
      </c>
      <c r="I87" s="175">
        <v>6.4797199999999999E-2</v>
      </c>
      <c r="J87" s="180">
        <v>6.5199999999999994E-2</v>
      </c>
      <c r="K87" s="174">
        <v>9218000</v>
      </c>
      <c r="L87" s="174">
        <v>5800000</v>
      </c>
      <c r="M87" s="170">
        <f t="shared" si="15"/>
        <v>1.5893103448275863</v>
      </c>
    </row>
    <row r="88" spans="1:13" ht="12.75" customHeight="1" x14ac:dyDescent="0.25">
      <c r="A88" s="156"/>
      <c r="B88" s="156"/>
      <c r="C88" s="156"/>
      <c r="D88" s="2" t="s">
        <v>151</v>
      </c>
      <c r="E88" s="158">
        <v>46949</v>
      </c>
      <c r="F88" s="177">
        <v>5.8749999999999997E-2</v>
      </c>
      <c r="G88" s="166">
        <v>6.3799999999999996E-2</v>
      </c>
      <c r="H88" s="166">
        <v>6.8000000000000005E-2</v>
      </c>
      <c r="I88" s="175">
        <v>6.4899200000000004E-2</v>
      </c>
      <c r="J88" s="166">
        <v>6.5000000000000002E-2</v>
      </c>
      <c r="K88" s="174">
        <v>3742500</v>
      </c>
      <c r="L88" s="174">
        <v>2550000</v>
      </c>
      <c r="M88" s="170">
        <f t="shared" si="15"/>
        <v>1.4676470588235293</v>
      </c>
    </row>
    <row r="89" spans="1:13" ht="12.75" customHeight="1" x14ac:dyDescent="0.25">
      <c r="A89" s="156"/>
      <c r="B89" s="156"/>
      <c r="C89" s="156"/>
      <c r="D89" s="172" t="s">
        <v>53</v>
      </c>
      <c r="E89" s="158">
        <v>50086</v>
      </c>
      <c r="F89" s="166">
        <v>6.0999999999999999E-2</v>
      </c>
      <c r="G89" s="166">
        <v>6.5699999999999995E-2</v>
      </c>
      <c r="H89" s="166">
        <v>6.7500000000000004E-2</v>
      </c>
      <c r="I89" s="175">
        <v>6.6494499999999998E-2</v>
      </c>
      <c r="J89" s="175">
        <v>6.6799999999999998E-2</v>
      </c>
      <c r="K89" s="174">
        <v>1350000</v>
      </c>
      <c r="L89" s="174">
        <v>550000</v>
      </c>
      <c r="M89" s="170">
        <f t="shared" si="15"/>
        <v>2.4545454545454546</v>
      </c>
    </row>
    <row r="90" spans="1:13" ht="12.75" customHeight="1" x14ac:dyDescent="0.25">
      <c r="A90" s="156"/>
      <c r="B90" s="156"/>
      <c r="C90" s="156"/>
      <c r="D90" s="172" t="s">
        <v>152</v>
      </c>
      <c r="E90" s="158">
        <v>51697</v>
      </c>
      <c r="F90" s="166">
        <v>6.6250000000000003E-2</v>
      </c>
      <c r="G90" s="166">
        <v>6.7900000000000002E-2</v>
      </c>
      <c r="H90" s="166">
        <v>6.8500000000000005E-2</v>
      </c>
      <c r="I90" s="175">
        <v>6.7952200000000004E-2</v>
      </c>
      <c r="J90" s="175">
        <v>6.8000000000000005E-2</v>
      </c>
      <c r="K90" s="174">
        <v>171000</v>
      </c>
      <c r="L90" s="174">
        <v>100000</v>
      </c>
      <c r="M90" s="170">
        <f t="shared" si="15"/>
        <v>1.71</v>
      </c>
    </row>
    <row r="91" spans="1:13" ht="12.75" customHeight="1" x14ac:dyDescent="0.25">
      <c r="A91" s="181"/>
      <c r="B91" s="156"/>
      <c r="C91" s="182"/>
      <c r="D91" s="172" t="s">
        <v>142</v>
      </c>
      <c r="E91" s="158">
        <v>54772</v>
      </c>
      <c r="F91" s="166">
        <v>6.8750000000000006E-2</v>
      </c>
      <c r="G91" s="166">
        <v>6.9000000000000006E-2</v>
      </c>
      <c r="H91" s="166">
        <v>7.0999999999999994E-2</v>
      </c>
      <c r="I91" s="175">
        <v>6.96962E-2</v>
      </c>
      <c r="J91" s="175">
        <v>6.9800000000000001E-2</v>
      </c>
      <c r="K91" s="174">
        <v>2311400</v>
      </c>
      <c r="L91" s="174">
        <v>2050000</v>
      </c>
      <c r="M91" s="170">
        <f t="shared" si="15"/>
        <v>1.1275121951219511</v>
      </c>
    </row>
    <row r="92" spans="1:13" ht="12.75" customHeight="1" x14ac:dyDescent="0.25">
      <c r="A92" s="297" t="s">
        <v>121</v>
      </c>
      <c r="B92" s="298"/>
      <c r="C92" s="298"/>
      <c r="D92" s="298"/>
      <c r="E92" s="298"/>
      <c r="F92" s="298"/>
      <c r="G92" s="298"/>
      <c r="H92" s="298"/>
      <c r="I92" s="298"/>
      <c r="J92" s="299"/>
      <c r="K92" s="173">
        <f>SUM(K85:K91)</f>
        <v>23647900</v>
      </c>
      <c r="L92" s="173">
        <f>SUM(L85:L91)</f>
        <v>11150000</v>
      </c>
      <c r="M92" s="165"/>
    </row>
    <row r="93" spans="1:13" ht="12" customHeight="1" outlineLevel="1" x14ac:dyDescent="0.2">
      <c r="A93" s="198">
        <v>45334</v>
      </c>
      <c r="B93" s="215">
        <v>45337</v>
      </c>
      <c r="C93" s="199" t="s">
        <v>136</v>
      </c>
      <c r="D93" s="184" t="s">
        <v>179</v>
      </c>
      <c r="E93" s="185">
        <v>45427</v>
      </c>
      <c r="F93" s="186" t="s">
        <v>128</v>
      </c>
      <c r="G93" s="202">
        <v>6.4000000000000001E-2</v>
      </c>
      <c r="H93" s="202">
        <v>6.4699999999999994E-2</v>
      </c>
      <c r="I93" s="194">
        <v>6.4000000000000001E-2</v>
      </c>
      <c r="J93" s="194">
        <v>6.4000000000000001E-2</v>
      </c>
      <c r="K93" s="216">
        <v>2320000</v>
      </c>
      <c r="L93" s="217">
        <v>400000</v>
      </c>
      <c r="M93" s="188">
        <f t="shared" ref="M93:M94" si="16">IF(L93=0,0,K93/L93)</f>
        <v>5.8</v>
      </c>
    </row>
    <row r="94" spans="1:13" ht="12" customHeight="1" outlineLevel="1" x14ac:dyDescent="0.2">
      <c r="A94" s="198"/>
      <c r="B94" s="183"/>
      <c r="C94" s="199"/>
      <c r="D94" s="184" t="s">
        <v>180</v>
      </c>
      <c r="E94" s="185">
        <v>45701</v>
      </c>
      <c r="F94" s="186" t="s">
        <v>128</v>
      </c>
      <c r="G94" s="186">
        <v>6.4500000000000002E-2</v>
      </c>
      <c r="H94" s="186">
        <v>6.5799999999999997E-2</v>
      </c>
      <c r="I94" s="202">
        <v>6.4845E-2</v>
      </c>
      <c r="J94" s="203">
        <v>6.5000000000000002E-2</v>
      </c>
      <c r="K94" s="216">
        <v>6950000</v>
      </c>
      <c r="L94" s="218">
        <v>2000000</v>
      </c>
      <c r="M94" s="188">
        <f t="shared" si="16"/>
        <v>3.4750000000000001</v>
      </c>
    </row>
    <row r="95" spans="1:13" ht="12.75" customHeight="1" outlineLevel="1" x14ac:dyDescent="0.2">
      <c r="A95" s="198"/>
      <c r="B95" s="185"/>
      <c r="C95" s="199"/>
      <c r="D95" s="184" t="s">
        <v>141</v>
      </c>
      <c r="E95" s="185">
        <v>47223</v>
      </c>
      <c r="F95" s="186">
        <v>6.8750000000000006E-2</v>
      </c>
      <c r="G95" s="186">
        <v>6.5000000000000002E-2</v>
      </c>
      <c r="H95" s="186">
        <v>6.8000000000000005E-2</v>
      </c>
      <c r="I95" s="187">
        <v>6.52422E-2</v>
      </c>
      <c r="J95" s="195">
        <v>6.54E-2</v>
      </c>
      <c r="K95" s="216">
        <v>19905000</v>
      </c>
      <c r="L95" s="219">
        <v>9650000</v>
      </c>
      <c r="M95" s="188">
        <f>IF(L95=0,0,K95/L95)</f>
        <v>2.0626943005181348</v>
      </c>
    </row>
    <row r="96" spans="1:13" ht="12.75" customHeight="1" outlineLevel="1" x14ac:dyDescent="0.25">
      <c r="A96" s="191"/>
      <c r="B96" s="189"/>
      <c r="C96" s="192"/>
      <c r="D96" s="184" t="s">
        <v>140</v>
      </c>
      <c r="E96" s="185">
        <v>48990</v>
      </c>
      <c r="F96" s="186">
        <v>6.6250000000000003E-2</v>
      </c>
      <c r="G96" s="186">
        <v>6.6299999999999998E-2</v>
      </c>
      <c r="H96" s="186">
        <v>6.8000000000000005E-2</v>
      </c>
      <c r="I96" s="196">
        <v>6.6585699999999998E-2</v>
      </c>
      <c r="J96" s="197">
        <v>6.6699999999999995E-2</v>
      </c>
      <c r="K96" s="216">
        <v>11444000</v>
      </c>
      <c r="L96" s="218">
        <v>4650000</v>
      </c>
      <c r="M96" s="188">
        <f>IF(L96=0,0,K96/L96)</f>
        <v>2.4610752688172042</v>
      </c>
    </row>
    <row r="97" spans="1:13" ht="12.75" customHeight="1" outlineLevel="1" x14ac:dyDescent="0.25">
      <c r="A97" s="191"/>
      <c r="B97" s="189"/>
      <c r="C97" s="192"/>
      <c r="D97" s="184" t="s">
        <v>138</v>
      </c>
      <c r="E97" s="185">
        <v>50571</v>
      </c>
      <c r="F97" s="186">
        <v>7.1249999999999994E-2</v>
      </c>
      <c r="G97" s="186">
        <v>6.7699999999999996E-2</v>
      </c>
      <c r="H97" s="186">
        <v>6.9500000000000006E-2</v>
      </c>
      <c r="I97" s="187">
        <v>6.7989999999999995E-2</v>
      </c>
      <c r="J97" s="195">
        <v>6.8099999999999994E-2</v>
      </c>
      <c r="K97" s="216">
        <v>4521000</v>
      </c>
      <c r="L97" s="219">
        <v>2200000</v>
      </c>
      <c r="M97" s="188">
        <f>IF(L97=0,0,K97/L97)</f>
        <v>2.0550000000000002</v>
      </c>
    </row>
    <row r="98" spans="1:13" ht="12.75" customHeight="1" outlineLevel="1" x14ac:dyDescent="0.25">
      <c r="A98" s="191"/>
      <c r="B98" s="189"/>
      <c r="C98" s="192"/>
      <c r="D98" s="184" t="s">
        <v>137</v>
      </c>
      <c r="E98" s="185">
        <v>52397</v>
      </c>
      <c r="F98" s="186">
        <v>7.1249999999999994E-2</v>
      </c>
      <c r="G98" s="186">
        <v>6.8500000000000005E-2</v>
      </c>
      <c r="H98" s="186">
        <v>7.0499999999999993E-2</v>
      </c>
      <c r="I98" s="187">
        <v>6.8899699999999994E-2</v>
      </c>
      <c r="J98" s="196">
        <v>6.9099999999999995E-2</v>
      </c>
      <c r="K98" s="220">
        <v>3036800</v>
      </c>
      <c r="L98" s="219">
        <v>1750000</v>
      </c>
      <c r="M98" s="188">
        <f>IF(L98=0,0,K98/L98)</f>
        <v>1.7353142857142858</v>
      </c>
    </row>
    <row r="99" spans="1:13" ht="12.75" customHeight="1" outlineLevel="1" x14ac:dyDescent="0.25">
      <c r="A99" s="191"/>
      <c r="B99" s="200"/>
      <c r="C99" s="192"/>
      <c r="D99" s="184" t="s">
        <v>146</v>
      </c>
      <c r="E99" s="185">
        <v>56445</v>
      </c>
      <c r="F99" s="186">
        <v>6.8750000000000006E-2</v>
      </c>
      <c r="G99" s="186">
        <v>6.88E-2</v>
      </c>
      <c r="H99" s="186">
        <v>7.0300000000000001E-2</v>
      </c>
      <c r="I99" s="197">
        <v>6.9699300000000006E-2</v>
      </c>
      <c r="J99" s="196">
        <v>6.9900000000000004E-2</v>
      </c>
      <c r="K99" s="220">
        <v>4454400</v>
      </c>
      <c r="L99" s="218">
        <v>3350000</v>
      </c>
      <c r="M99" s="201">
        <f>IF(L99=0,0,K99/L99)</f>
        <v>1.3296716417910448</v>
      </c>
    </row>
    <row r="100" spans="1:13" s="1" customFormat="1" ht="12.75" customHeight="1" outlineLevel="1" x14ac:dyDescent="0.25">
      <c r="A100" s="293" t="s">
        <v>121</v>
      </c>
      <c r="B100" s="294"/>
      <c r="C100" s="295"/>
      <c r="D100" s="295"/>
      <c r="E100" s="295"/>
      <c r="F100" s="295"/>
      <c r="G100" s="295"/>
      <c r="H100" s="295"/>
      <c r="I100" s="295"/>
      <c r="J100" s="296"/>
      <c r="K100" s="190">
        <f>SUM(K93:K99)</f>
        <v>52631200</v>
      </c>
      <c r="L100" s="190">
        <f>SUM(L93:L99)</f>
        <v>24000000</v>
      </c>
      <c r="M100" s="193"/>
    </row>
    <row r="101" spans="1:13" s="1" customFormat="1" ht="12.75" customHeight="1" outlineLevel="1" x14ac:dyDescent="0.25">
      <c r="A101" s="164">
        <v>45342</v>
      </c>
      <c r="B101" s="164">
        <v>45344</v>
      </c>
      <c r="C101" s="160" t="s">
        <v>136</v>
      </c>
      <c r="D101" s="172" t="s">
        <v>177</v>
      </c>
      <c r="E101" s="158">
        <v>45509</v>
      </c>
      <c r="F101" s="166" t="s">
        <v>128</v>
      </c>
      <c r="G101" s="166">
        <v>6.3700000000000007E-2</v>
      </c>
      <c r="H101" s="166">
        <v>6.5000000000000002E-2</v>
      </c>
      <c r="I101" s="166">
        <v>6.3700000000000007E-2</v>
      </c>
      <c r="J101" s="166">
        <v>6.3700000000000007E-2</v>
      </c>
      <c r="K101" s="174">
        <v>3047000</v>
      </c>
      <c r="L101" s="235">
        <v>3000000</v>
      </c>
      <c r="M101" s="170">
        <f>IF(L101=0,0,K101/L101)</f>
        <v>1.0156666666666667</v>
      </c>
    </row>
    <row r="102" spans="1:13" s="1" customFormat="1" ht="12.75" customHeight="1" outlineLevel="1" x14ac:dyDescent="0.25">
      <c r="A102" s="164"/>
      <c r="B102" s="164"/>
      <c r="C102" s="160"/>
      <c r="D102" s="172" t="s">
        <v>181</v>
      </c>
      <c r="E102" s="158">
        <v>45614</v>
      </c>
      <c r="F102" s="166" t="s">
        <v>128</v>
      </c>
      <c r="G102" s="166">
        <v>6.3799999999999996E-2</v>
      </c>
      <c r="H102" s="166">
        <v>6.5500000000000003E-2</v>
      </c>
      <c r="I102" s="178">
        <v>6.38846E-2</v>
      </c>
      <c r="J102" s="180">
        <v>6.4000000000000001E-2</v>
      </c>
      <c r="K102" s="174">
        <v>4652700</v>
      </c>
      <c r="L102" s="235">
        <v>2600000</v>
      </c>
      <c r="M102" s="170">
        <f t="shared" ref="M102:M107" si="17">IF(L102=0,0,K102/L102)</f>
        <v>1.7895000000000001</v>
      </c>
    </row>
    <row r="103" spans="1:13" s="1" customFormat="1" ht="12.75" customHeight="1" outlineLevel="1" x14ac:dyDescent="0.25">
      <c r="A103" s="164"/>
      <c r="B103" s="158"/>
      <c r="C103" s="160"/>
      <c r="D103" s="172" t="s">
        <v>150</v>
      </c>
      <c r="E103" s="158">
        <v>45488</v>
      </c>
      <c r="F103" s="166">
        <v>4.8750000000000002E-2</v>
      </c>
      <c r="G103" s="166">
        <v>6.4500000000000002E-2</v>
      </c>
      <c r="H103" s="166">
        <v>6.7500000000000004E-2</v>
      </c>
      <c r="I103" s="175">
        <v>6.5312899999999993E-2</v>
      </c>
      <c r="J103" s="180">
        <v>6.5500000000000003E-2</v>
      </c>
      <c r="K103" s="174">
        <v>4826000</v>
      </c>
      <c r="L103" s="174">
        <v>1050000</v>
      </c>
      <c r="M103" s="170">
        <f t="shared" si="17"/>
        <v>4.5961904761904764</v>
      </c>
    </row>
    <row r="104" spans="1:13" s="1" customFormat="1" ht="12.75" customHeight="1" outlineLevel="1" x14ac:dyDescent="0.25">
      <c r="A104" s="156"/>
      <c r="B104" s="156"/>
      <c r="C104" s="156"/>
      <c r="D104" s="2" t="s">
        <v>151</v>
      </c>
      <c r="E104" s="158">
        <v>46949</v>
      </c>
      <c r="F104" s="177">
        <v>5.8749999999999997E-2</v>
      </c>
      <c r="G104" s="166">
        <v>6.4299999999999996E-2</v>
      </c>
      <c r="H104" s="166">
        <v>6.6500000000000004E-2</v>
      </c>
      <c r="I104" s="175">
        <v>6.4635999999999999E-2</v>
      </c>
      <c r="J104" s="166">
        <v>6.4699999999999994E-2</v>
      </c>
      <c r="K104" s="174">
        <v>1528000</v>
      </c>
      <c r="L104" s="174">
        <v>250000</v>
      </c>
      <c r="M104" s="170">
        <f t="shared" si="17"/>
        <v>6.1120000000000001</v>
      </c>
    </row>
    <row r="105" spans="1:13" s="1" customFormat="1" ht="12.75" customHeight="1" outlineLevel="1" x14ac:dyDescent="0.25">
      <c r="A105" s="156"/>
      <c r="B105" s="156"/>
      <c r="C105" s="156"/>
      <c r="D105" s="172" t="s">
        <v>139</v>
      </c>
      <c r="E105" s="158">
        <v>47376</v>
      </c>
      <c r="F105" s="166">
        <v>6.6250000000000003E-2</v>
      </c>
      <c r="G105" s="166">
        <v>6.5500000000000003E-2</v>
      </c>
      <c r="H105" s="166">
        <v>6.6500000000000004E-2</v>
      </c>
      <c r="I105" s="175">
        <v>6.5761899999999998E-2</v>
      </c>
      <c r="J105" s="175">
        <v>6.6000000000000003E-2</v>
      </c>
      <c r="K105" s="174">
        <v>939000</v>
      </c>
      <c r="L105" s="174">
        <v>750000</v>
      </c>
      <c r="M105" s="170">
        <f t="shared" si="17"/>
        <v>1.252</v>
      </c>
    </row>
    <row r="106" spans="1:13" s="1" customFormat="1" ht="12.75" customHeight="1" outlineLevel="1" x14ac:dyDescent="0.25">
      <c r="A106" s="156"/>
      <c r="B106" s="156"/>
      <c r="C106" s="156"/>
      <c r="D106" s="172" t="s">
        <v>53</v>
      </c>
      <c r="E106" s="158">
        <v>50086</v>
      </c>
      <c r="F106" s="166">
        <v>6.0999999999999999E-2</v>
      </c>
      <c r="G106" s="166">
        <v>6.5600000000000006E-2</v>
      </c>
      <c r="H106" s="166">
        <v>6.7500000000000004E-2</v>
      </c>
      <c r="I106" s="175">
        <v>6.6754099999999997E-2</v>
      </c>
      <c r="J106" s="175">
        <v>6.7100000000000007E-2</v>
      </c>
      <c r="K106" s="174">
        <v>500900</v>
      </c>
      <c r="L106" s="174">
        <v>400000</v>
      </c>
      <c r="M106" s="170">
        <f t="shared" si="17"/>
        <v>1.2522500000000001</v>
      </c>
    </row>
    <row r="107" spans="1:13" s="1" customFormat="1" ht="12.75" customHeight="1" outlineLevel="1" x14ac:dyDescent="0.25">
      <c r="A107" s="181"/>
      <c r="B107" s="156"/>
      <c r="C107" s="182"/>
      <c r="D107" s="172" t="s">
        <v>142</v>
      </c>
      <c r="E107" s="158">
        <v>54772</v>
      </c>
      <c r="F107" s="166">
        <v>6.8750000000000006E-2</v>
      </c>
      <c r="G107" s="166">
        <v>6.8500000000000005E-2</v>
      </c>
      <c r="H107" s="166">
        <v>7.0300000000000001E-2</v>
      </c>
      <c r="I107" s="175">
        <v>6.9887900000000003E-2</v>
      </c>
      <c r="J107" s="175">
        <v>7.0000000000000007E-2</v>
      </c>
      <c r="K107" s="174">
        <v>4388500</v>
      </c>
      <c r="L107" s="174">
        <v>3950000</v>
      </c>
      <c r="M107" s="170">
        <f t="shared" si="17"/>
        <v>1.1110126582278481</v>
      </c>
    </row>
    <row r="108" spans="1:13" s="1" customFormat="1" ht="12.75" customHeight="1" outlineLevel="1" x14ac:dyDescent="0.25">
      <c r="A108" s="297" t="s">
        <v>121</v>
      </c>
      <c r="B108" s="298"/>
      <c r="C108" s="298"/>
      <c r="D108" s="298"/>
      <c r="E108" s="298"/>
      <c r="F108" s="298"/>
      <c r="G108" s="298"/>
      <c r="H108" s="298"/>
      <c r="I108" s="298"/>
      <c r="J108" s="299"/>
      <c r="K108" s="173">
        <f>SUM(K101:K107)</f>
        <v>19882100</v>
      </c>
      <c r="L108" s="173">
        <f>SUM(L101:L107)</f>
        <v>12000000</v>
      </c>
      <c r="M108" s="165"/>
    </row>
    <row r="109" spans="1:13" ht="12.75" customHeight="1" x14ac:dyDescent="0.2">
      <c r="A109" s="237">
        <v>45348</v>
      </c>
      <c r="B109" s="238">
        <v>45350</v>
      </c>
      <c r="C109" s="239" t="s">
        <v>155</v>
      </c>
      <c r="D109" s="240" t="s">
        <v>184</v>
      </c>
      <c r="E109" s="241">
        <v>46433</v>
      </c>
      <c r="F109" s="242">
        <v>6.25E-2</v>
      </c>
      <c r="G109" s="242"/>
      <c r="H109" s="242"/>
      <c r="I109" s="194"/>
      <c r="J109" s="194"/>
      <c r="K109" s="243">
        <v>19381360</v>
      </c>
      <c r="L109" s="243">
        <f>K109</f>
        <v>19381360</v>
      </c>
      <c r="M109" s="244">
        <f>IF(L109=0,0,K109/L109)</f>
        <v>1</v>
      </c>
    </row>
    <row r="110" spans="1:13" ht="12.75" customHeight="1" x14ac:dyDescent="0.2">
      <c r="A110" s="245"/>
      <c r="B110" s="246"/>
      <c r="C110" s="247"/>
      <c r="D110" s="248" t="s">
        <v>185</v>
      </c>
      <c r="E110" s="249">
        <v>47529</v>
      </c>
      <c r="F110" s="250">
        <v>6.4000000000000001E-2</v>
      </c>
      <c r="G110" s="250"/>
      <c r="H110" s="250"/>
      <c r="I110" s="251"/>
      <c r="J110" s="251"/>
      <c r="K110" s="252">
        <v>4539342</v>
      </c>
      <c r="L110" s="252">
        <f>K110</f>
        <v>4539342</v>
      </c>
      <c r="M110" s="253">
        <f>IF(L110=0,0,K110/L110)</f>
        <v>1</v>
      </c>
    </row>
    <row r="111" spans="1:13" ht="12" customHeight="1" x14ac:dyDescent="0.25">
      <c r="A111" s="304" t="s">
        <v>121</v>
      </c>
      <c r="B111" s="294"/>
      <c r="C111" s="294"/>
      <c r="D111" s="294"/>
      <c r="E111" s="294"/>
      <c r="F111" s="294"/>
      <c r="G111" s="294"/>
      <c r="H111" s="294"/>
      <c r="I111" s="294"/>
      <c r="J111" s="305"/>
      <c r="K111" s="254">
        <f>SUM(K109:K110)</f>
        <v>23920702</v>
      </c>
      <c r="L111" s="254">
        <f>SUM(L109:L110)</f>
        <v>23920702</v>
      </c>
      <c r="M111" s="213"/>
    </row>
    <row r="112" spans="1:13" ht="12" customHeight="1" outlineLevel="1" x14ac:dyDescent="0.2">
      <c r="A112" s="198">
        <v>45349</v>
      </c>
      <c r="B112" s="215">
        <v>45351</v>
      </c>
      <c r="C112" s="199" t="s">
        <v>136</v>
      </c>
      <c r="D112" s="184" t="s">
        <v>183</v>
      </c>
      <c r="E112" s="185">
        <v>45441</v>
      </c>
      <c r="F112" s="186" t="s">
        <v>128</v>
      </c>
      <c r="G112" s="202">
        <v>6.3799999999999996E-2</v>
      </c>
      <c r="H112" s="202">
        <v>6.4000000000000001E-2</v>
      </c>
      <c r="I112" s="194">
        <v>6.3968800000000006E-2</v>
      </c>
      <c r="J112" s="194">
        <v>6.4000000000000001E-2</v>
      </c>
      <c r="K112" s="216">
        <v>2430000</v>
      </c>
      <c r="L112" s="217">
        <v>640000</v>
      </c>
      <c r="M112" s="188">
        <f t="shared" ref="M112:M113" si="18">IF(L112=0,0,K112/L112)</f>
        <v>3.796875</v>
      </c>
    </row>
    <row r="113" spans="1:13" ht="12" customHeight="1" outlineLevel="1" x14ac:dyDescent="0.2">
      <c r="A113" s="198"/>
      <c r="B113" s="183"/>
      <c r="C113" s="199"/>
      <c r="D113" s="184" t="s">
        <v>180</v>
      </c>
      <c r="E113" s="185">
        <v>45701</v>
      </c>
      <c r="F113" s="186" t="s">
        <v>128</v>
      </c>
      <c r="G113" s="186">
        <v>6.4500000000000002E-2</v>
      </c>
      <c r="H113" s="186">
        <v>6.5500000000000003E-2</v>
      </c>
      <c r="I113" s="202">
        <v>6.4698400000000003E-2</v>
      </c>
      <c r="J113" s="203">
        <v>6.4799999999999996E-2</v>
      </c>
      <c r="K113" s="216">
        <v>4948000</v>
      </c>
      <c r="L113" s="218">
        <v>1250000</v>
      </c>
      <c r="M113" s="188">
        <f t="shared" si="18"/>
        <v>3.9584000000000001</v>
      </c>
    </row>
    <row r="114" spans="1:13" ht="12.75" customHeight="1" outlineLevel="1" x14ac:dyDescent="0.2">
      <c r="A114" s="198"/>
      <c r="B114" s="185"/>
      <c r="C114" s="199"/>
      <c r="D114" s="184" t="s">
        <v>141</v>
      </c>
      <c r="E114" s="185">
        <v>47223</v>
      </c>
      <c r="F114" s="186">
        <v>6.8750000000000006E-2</v>
      </c>
      <c r="G114" s="186">
        <v>6.4799999999999996E-2</v>
      </c>
      <c r="H114" s="186">
        <v>6.93E-2</v>
      </c>
      <c r="I114" s="187">
        <v>6.5050300000000005E-2</v>
      </c>
      <c r="J114" s="195">
        <v>6.5100000000000005E-2</v>
      </c>
      <c r="K114" s="216">
        <v>17796500</v>
      </c>
      <c r="L114" s="219">
        <v>3310000</v>
      </c>
      <c r="M114" s="188">
        <f>IF(L114=0,0,K114/L114)</f>
        <v>5.3765861027190329</v>
      </c>
    </row>
    <row r="115" spans="1:13" ht="12.75" customHeight="1" outlineLevel="1" x14ac:dyDescent="0.25">
      <c r="A115" s="191"/>
      <c r="B115" s="189"/>
      <c r="C115" s="192"/>
      <c r="D115" s="184" t="s">
        <v>140</v>
      </c>
      <c r="E115" s="185">
        <v>48990</v>
      </c>
      <c r="F115" s="186">
        <v>6.6250000000000003E-2</v>
      </c>
      <c r="G115" s="186">
        <v>6.5600000000000006E-2</v>
      </c>
      <c r="H115" s="186">
        <v>6.7000000000000004E-2</v>
      </c>
      <c r="I115" s="196">
        <v>6.5972000000000003E-2</v>
      </c>
      <c r="J115" s="197">
        <v>6.6100000000000006E-2</v>
      </c>
      <c r="K115" s="216">
        <v>12932000</v>
      </c>
      <c r="L115" s="218">
        <v>7900000</v>
      </c>
      <c r="M115" s="188">
        <f>IF(L115=0,0,K115/L115)</f>
        <v>1.6369620253164556</v>
      </c>
    </row>
    <row r="116" spans="1:13" ht="12.75" customHeight="1" outlineLevel="1" x14ac:dyDescent="0.25">
      <c r="A116" s="191"/>
      <c r="B116" s="189"/>
      <c r="C116" s="192"/>
      <c r="D116" s="184" t="s">
        <v>138</v>
      </c>
      <c r="E116" s="185">
        <v>50571</v>
      </c>
      <c r="F116" s="186">
        <v>7.1249999999999994E-2</v>
      </c>
      <c r="G116" s="186">
        <v>6.7400000000000002E-2</v>
      </c>
      <c r="H116" s="186">
        <v>6.9000000000000006E-2</v>
      </c>
      <c r="I116" s="187">
        <v>6.7699700000000002E-2</v>
      </c>
      <c r="J116" s="195">
        <v>6.7799999999999999E-2</v>
      </c>
      <c r="K116" s="216">
        <v>8875800</v>
      </c>
      <c r="L116" s="219">
        <v>3600000</v>
      </c>
      <c r="M116" s="188">
        <f>IF(L116=0,0,K116/L116)</f>
        <v>2.4655</v>
      </c>
    </row>
    <row r="117" spans="1:13" ht="12.75" customHeight="1" outlineLevel="1" x14ac:dyDescent="0.25">
      <c r="A117" s="191"/>
      <c r="B117" s="189"/>
      <c r="C117" s="192"/>
      <c r="D117" s="184" t="s">
        <v>137</v>
      </c>
      <c r="E117" s="185">
        <v>52397</v>
      </c>
      <c r="F117" s="186">
        <v>7.1249999999999994E-2</v>
      </c>
      <c r="G117" s="186">
        <v>6.8199999999999997E-2</v>
      </c>
      <c r="H117" s="186">
        <v>7.0000000000000007E-2</v>
      </c>
      <c r="I117" s="187">
        <v>6.8492200000000003E-2</v>
      </c>
      <c r="J117" s="196">
        <v>6.8599999999999994E-2</v>
      </c>
      <c r="K117" s="220">
        <v>5448800</v>
      </c>
      <c r="L117" s="219">
        <v>3100000</v>
      </c>
      <c r="M117" s="188">
        <f>IF(L117=0,0,K117/L117)</f>
        <v>1.7576774193548388</v>
      </c>
    </row>
    <row r="118" spans="1:13" ht="12.75" customHeight="1" outlineLevel="1" x14ac:dyDescent="0.25">
      <c r="A118" s="191"/>
      <c r="B118" s="200"/>
      <c r="C118" s="192"/>
      <c r="D118" s="184" t="s">
        <v>146</v>
      </c>
      <c r="E118" s="185">
        <v>56445</v>
      </c>
      <c r="F118" s="186">
        <v>6.8750000000000006E-2</v>
      </c>
      <c r="G118" s="186">
        <v>6.7699999999999996E-2</v>
      </c>
      <c r="H118" s="186">
        <v>7.7899999999999997E-2</v>
      </c>
      <c r="I118" s="197">
        <v>6.9287799999999997E-2</v>
      </c>
      <c r="J118" s="196">
        <v>6.9400000000000003E-2</v>
      </c>
      <c r="K118" s="220">
        <v>8609700</v>
      </c>
      <c r="L118" s="218">
        <v>4200000</v>
      </c>
      <c r="M118" s="201">
        <f>IF(L118=0,0,K118/L118)</f>
        <v>2.0499285714285715</v>
      </c>
    </row>
    <row r="119" spans="1:13" s="1" customFormat="1" ht="12.75" customHeight="1" outlineLevel="1" x14ac:dyDescent="0.25">
      <c r="A119" s="293" t="s">
        <v>121</v>
      </c>
      <c r="B119" s="294"/>
      <c r="C119" s="295"/>
      <c r="D119" s="295"/>
      <c r="E119" s="295"/>
      <c r="F119" s="295"/>
      <c r="G119" s="295"/>
      <c r="H119" s="295"/>
      <c r="I119" s="295"/>
      <c r="J119" s="296"/>
      <c r="K119" s="190">
        <f>SUM(K112:K118)</f>
        <v>61040800</v>
      </c>
      <c r="L119" s="190">
        <f>SUM(L112:L118)</f>
        <v>24000000</v>
      </c>
      <c r="M119" s="193"/>
    </row>
    <row r="120" spans="1:13" s="1" customFormat="1" ht="12.75" customHeight="1" outlineLevel="1" x14ac:dyDescent="0.25">
      <c r="A120" s="300" t="s">
        <v>164</v>
      </c>
      <c r="B120" s="301"/>
      <c r="C120" s="301"/>
      <c r="D120" s="301"/>
      <c r="E120" s="301"/>
      <c r="F120" s="301"/>
      <c r="G120" s="301"/>
      <c r="H120" s="301"/>
      <c r="I120" s="301"/>
      <c r="J120" s="302"/>
      <c r="K120" s="255">
        <f>K92+K100+K108+K111+K119</f>
        <v>181122702</v>
      </c>
      <c r="L120" s="255">
        <f>L92+L100+L108+L111+L119</f>
        <v>95070702</v>
      </c>
      <c r="M120" s="165"/>
    </row>
    <row r="121" spans="1:13" s="1" customFormat="1" ht="12.75" customHeight="1" outlineLevel="1" x14ac:dyDescent="0.25">
      <c r="A121" s="300" t="s">
        <v>182</v>
      </c>
      <c r="B121" s="301"/>
      <c r="C121" s="301"/>
      <c r="D121" s="301"/>
      <c r="E121" s="301"/>
      <c r="F121" s="301"/>
      <c r="G121" s="301"/>
      <c r="H121" s="301"/>
      <c r="I121" s="301"/>
      <c r="J121" s="302"/>
      <c r="K121" s="255">
        <f>K74+K120</f>
        <v>452177802</v>
      </c>
      <c r="L121" s="255">
        <f>L64+L120</f>
        <v>100220702</v>
      </c>
      <c r="M121" s="165"/>
    </row>
    <row r="122" spans="1:13" s="1" customFormat="1" ht="12.75" customHeight="1" outlineLevel="1" x14ac:dyDescent="0.25">
      <c r="A122" s="164">
        <v>45356</v>
      </c>
      <c r="B122" s="164">
        <v>45358</v>
      </c>
      <c r="C122" s="160" t="s">
        <v>136</v>
      </c>
      <c r="D122" s="172" t="s">
        <v>186</v>
      </c>
      <c r="E122" s="158">
        <v>45538</v>
      </c>
      <c r="F122" s="166" t="s">
        <v>128</v>
      </c>
      <c r="G122" s="166">
        <v>6.3500000000000001E-2</v>
      </c>
      <c r="H122" s="166">
        <v>6.5000000000000002E-2</v>
      </c>
      <c r="I122" s="166">
        <v>6.3500000000000001E-2</v>
      </c>
      <c r="J122" s="166">
        <v>6.3500000000000001E-2</v>
      </c>
      <c r="K122" s="256">
        <v>2110000</v>
      </c>
      <c r="L122" s="257">
        <v>200000</v>
      </c>
      <c r="M122" s="170">
        <f>IF(L122=0,0,K122/L122)</f>
        <v>10.55</v>
      </c>
    </row>
    <row r="123" spans="1:13" s="1" customFormat="1" ht="12.75" customHeight="1" outlineLevel="1" x14ac:dyDescent="0.25">
      <c r="A123" s="164"/>
      <c r="B123" s="164"/>
      <c r="C123" s="160"/>
      <c r="D123" s="172" t="s">
        <v>187</v>
      </c>
      <c r="E123" s="158">
        <v>45628</v>
      </c>
      <c r="F123" s="166" t="s">
        <v>128</v>
      </c>
      <c r="G123" s="166">
        <v>6.3899999999999998E-2</v>
      </c>
      <c r="H123" s="166">
        <v>6.6000000000000003E-2</v>
      </c>
      <c r="I123" s="178">
        <v>6.4377799999999999E-2</v>
      </c>
      <c r="J123" s="180">
        <v>6.5000000000000002E-2</v>
      </c>
      <c r="K123" s="256">
        <v>3920000</v>
      </c>
      <c r="L123" s="257">
        <v>900000</v>
      </c>
      <c r="M123" s="170">
        <f t="shared" ref="M123:M128" si="19">IF(L123=0,0,K123/L123)</f>
        <v>4.3555555555555552</v>
      </c>
    </row>
    <row r="124" spans="1:13" s="1" customFormat="1" ht="12.75" customHeight="1" outlineLevel="1" x14ac:dyDescent="0.25">
      <c r="A124" s="164"/>
      <c r="B124" s="158"/>
      <c r="C124" s="160"/>
      <c r="D124" s="172" t="s">
        <v>150</v>
      </c>
      <c r="E124" s="158">
        <v>46218</v>
      </c>
      <c r="F124" s="166">
        <v>4.8750000000000002E-2</v>
      </c>
      <c r="G124" s="166">
        <v>6.4799999999999996E-2</v>
      </c>
      <c r="H124" s="166">
        <v>6.8000000000000005E-2</v>
      </c>
      <c r="I124" s="175">
        <v>6.5997100000000003E-2</v>
      </c>
      <c r="J124" s="180">
        <v>6.6400000000000001E-2</v>
      </c>
      <c r="K124" s="256">
        <v>6002500</v>
      </c>
      <c r="L124" s="256">
        <v>3600000</v>
      </c>
      <c r="M124" s="170">
        <f t="shared" si="19"/>
        <v>1.6673611111111111</v>
      </c>
    </row>
    <row r="125" spans="1:13" s="1" customFormat="1" ht="12.75" customHeight="1" outlineLevel="1" x14ac:dyDescent="0.25">
      <c r="A125" s="156"/>
      <c r="B125" s="156"/>
      <c r="C125" s="156"/>
      <c r="D125" s="2" t="s">
        <v>151</v>
      </c>
      <c r="E125" s="158">
        <v>46949</v>
      </c>
      <c r="F125" s="177">
        <v>5.8749999999999997E-2</v>
      </c>
      <c r="G125" s="166">
        <v>6.4600000000000005E-2</v>
      </c>
      <c r="H125" s="166">
        <v>6.6100000000000006E-2</v>
      </c>
      <c r="I125" s="175">
        <v>6.5111799999999997E-2</v>
      </c>
      <c r="J125" s="166">
        <v>6.5500000000000003E-2</v>
      </c>
      <c r="K125" s="256">
        <v>1551000</v>
      </c>
      <c r="L125" s="256">
        <v>1535000</v>
      </c>
      <c r="M125" s="170">
        <f t="shared" si="19"/>
        <v>1.0104234527687297</v>
      </c>
    </row>
    <row r="126" spans="1:13" s="1" customFormat="1" ht="12.75" customHeight="1" outlineLevel="1" x14ac:dyDescent="0.25">
      <c r="A126" s="156"/>
      <c r="B126" s="156"/>
      <c r="C126" s="156"/>
      <c r="D126" s="172" t="s">
        <v>53</v>
      </c>
      <c r="E126" s="158">
        <v>50086</v>
      </c>
      <c r="F126" s="166">
        <v>6.0999999999999999E-2</v>
      </c>
      <c r="G126" s="166">
        <v>6.6000000000000003E-2</v>
      </c>
      <c r="H126" s="166">
        <v>6.8000000000000005E-2</v>
      </c>
      <c r="I126" s="175">
        <v>6.6983899999999999E-2</v>
      </c>
      <c r="J126" s="175">
        <v>6.7400000000000002E-2</v>
      </c>
      <c r="K126" s="256">
        <v>732000</v>
      </c>
      <c r="L126" s="256">
        <v>500000</v>
      </c>
      <c r="M126" s="170">
        <f t="shared" si="19"/>
        <v>1.464</v>
      </c>
    </row>
    <row r="127" spans="1:13" s="1" customFormat="1" ht="12.75" customHeight="1" outlineLevel="1" x14ac:dyDescent="0.25">
      <c r="A127" s="156"/>
      <c r="B127" s="156"/>
      <c r="C127" s="156"/>
      <c r="D127" s="172" t="s">
        <v>152</v>
      </c>
      <c r="E127" s="158">
        <v>51697</v>
      </c>
      <c r="F127" s="166">
        <v>6.6250000000000003E-2</v>
      </c>
      <c r="G127" s="166">
        <v>6.7799999999999999E-2</v>
      </c>
      <c r="H127" s="166">
        <v>7.0000000000000007E-2</v>
      </c>
      <c r="I127" s="175">
        <v>6.8403500000000006E-2</v>
      </c>
      <c r="J127" s="175">
        <v>6.8900000000000003E-2</v>
      </c>
      <c r="K127" s="256">
        <v>298500</v>
      </c>
      <c r="L127" s="256">
        <v>245000</v>
      </c>
      <c r="M127" s="170">
        <f t="shared" si="19"/>
        <v>1.2183673469387755</v>
      </c>
    </row>
    <row r="128" spans="1:13" s="1" customFormat="1" ht="12.75" customHeight="1" outlineLevel="1" x14ac:dyDescent="0.25">
      <c r="A128" s="181"/>
      <c r="B128" s="156"/>
      <c r="C128" s="182"/>
      <c r="D128" s="172" t="s">
        <v>142</v>
      </c>
      <c r="E128" s="158">
        <v>54772</v>
      </c>
      <c r="F128" s="166">
        <v>6.8750000000000006E-2</v>
      </c>
      <c r="G128" s="166">
        <v>6.9500000000000006E-2</v>
      </c>
      <c r="H128" s="166">
        <v>7.0999999999999994E-2</v>
      </c>
      <c r="I128" s="175">
        <v>6.9780200000000001E-2</v>
      </c>
      <c r="J128" s="175">
        <v>6.9900000000000004E-2</v>
      </c>
      <c r="K128" s="256">
        <v>2437100</v>
      </c>
      <c r="L128" s="256">
        <v>400000</v>
      </c>
      <c r="M128" s="170">
        <f t="shared" si="19"/>
        <v>6.0927499999999997</v>
      </c>
    </row>
    <row r="129" spans="1:13" s="1" customFormat="1" ht="12.75" customHeight="1" outlineLevel="1" x14ac:dyDescent="0.25">
      <c r="A129" s="297" t="s">
        <v>121</v>
      </c>
      <c r="B129" s="298"/>
      <c r="C129" s="298"/>
      <c r="D129" s="298"/>
      <c r="E129" s="298"/>
      <c r="F129" s="298"/>
      <c r="G129" s="298"/>
      <c r="H129" s="298"/>
      <c r="I129" s="298"/>
      <c r="J129" s="299"/>
      <c r="K129" s="173">
        <f>SUM(K122:K128)</f>
        <v>17051100</v>
      </c>
      <c r="L129" s="173">
        <f>SUM(L122:L128)</f>
        <v>7380000</v>
      </c>
      <c r="M129" s="165"/>
    </row>
    <row r="130" spans="1:13" ht="12" customHeight="1" outlineLevel="1" x14ac:dyDescent="0.2">
      <c r="A130" s="198">
        <v>45364</v>
      </c>
      <c r="B130" s="215">
        <v>45364</v>
      </c>
      <c r="C130" s="199" t="s">
        <v>136</v>
      </c>
      <c r="D130" s="184" t="s">
        <v>189</v>
      </c>
      <c r="E130" s="185">
        <v>45456</v>
      </c>
      <c r="F130" s="186" t="s">
        <v>128</v>
      </c>
      <c r="G130" s="202">
        <v>6.3700000000000007E-2</v>
      </c>
      <c r="H130" s="202">
        <v>6.4000000000000001E-2</v>
      </c>
      <c r="I130" s="194">
        <v>6.3759999999999997E-2</v>
      </c>
      <c r="J130" s="194">
        <v>6.4000000000000001E-2</v>
      </c>
      <c r="K130" s="216">
        <v>2276500</v>
      </c>
      <c r="L130" s="217">
        <v>150000</v>
      </c>
      <c r="M130" s="188">
        <f t="shared" ref="M130:M131" si="20">IF(L130=0,0,K130/L130)</f>
        <v>15.176666666666666</v>
      </c>
    </row>
    <row r="131" spans="1:13" ht="12" customHeight="1" outlineLevel="1" x14ac:dyDescent="0.2">
      <c r="A131" s="198"/>
      <c r="B131" s="183"/>
      <c r="C131" s="199"/>
      <c r="D131" s="184" t="s">
        <v>190</v>
      </c>
      <c r="E131" s="185">
        <v>45730</v>
      </c>
      <c r="F131" s="186" t="s">
        <v>128</v>
      </c>
      <c r="G131" s="186">
        <v>6.4500000000000002E-2</v>
      </c>
      <c r="H131" s="186">
        <v>6.5500000000000003E-2</v>
      </c>
      <c r="I131" s="202">
        <v>6.4585699999999996E-2</v>
      </c>
      <c r="J131" s="203">
        <v>6.4699999999999994E-2</v>
      </c>
      <c r="K131" s="216">
        <v>4190000</v>
      </c>
      <c r="L131" s="218">
        <v>1400000</v>
      </c>
      <c r="M131" s="188">
        <f t="shared" si="20"/>
        <v>2.9928571428571429</v>
      </c>
    </row>
    <row r="132" spans="1:13" ht="12.75" customHeight="1" outlineLevel="1" x14ac:dyDescent="0.2">
      <c r="A132" s="198"/>
      <c r="B132" s="185"/>
      <c r="C132" s="199"/>
      <c r="D132" s="184" t="s">
        <v>141</v>
      </c>
      <c r="E132" s="185">
        <v>47223</v>
      </c>
      <c r="F132" s="186">
        <v>6.8750000000000006E-2</v>
      </c>
      <c r="G132" s="186">
        <v>6.4500000000000002E-2</v>
      </c>
      <c r="H132" s="186">
        <v>6.6500000000000004E-2</v>
      </c>
      <c r="I132" s="187">
        <v>6.4899999999999999E-2</v>
      </c>
      <c r="J132" s="195">
        <v>6.5000000000000002E-2</v>
      </c>
      <c r="K132" s="216">
        <v>18863200</v>
      </c>
      <c r="L132" s="219">
        <v>4850000</v>
      </c>
      <c r="M132" s="188">
        <f>IF(L132=0,0,K132/L132)</f>
        <v>3.889319587628866</v>
      </c>
    </row>
    <row r="133" spans="1:13" ht="12.75" customHeight="1" outlineLevel="1" x14ac:dyDescent="0.25">
      <c r="A133" s="191"/>
      <c r="B133" s="189"/>
      <c r="C133" s="192"/>
      <c r="D133" s="184" t="s">
        <v>140</v>
      </c>
      <c r="E133" s="185">
        <v>48990</v>
      </c>
      <c r="F133" s="186">
        <v>6.6250000000000003E-2</v>
      </c>
      <c r="G133" s="186">
        <v>6.59E-2</v>
      </c>
      <c r="H133" s="186">
        <v>6.7500000000000004E-2</v>
      </c>
      <c r="I133" s="196">
        <v>6.6199599999999997E-2</v>
      </c>
      <c r="J133" s="197">
        <v>6.6299999999999998E-2</v>
      </c>
      <c r="K133" s="216">
        <v>19438200</v>
      </c>
      <c r="L133" s="218">
        <v>9100000</v>
      </c>
      <c r="M133" s="188">
        <f>IF(L133=0,0,K133/L133)</f>
        <v>2.1360659340659343</v>
      </c>
    </row>
    <row r="134" spans="1:13" ht="12.75" customHeight="1" outlineLevel="1" x14ac:dyDescent="0.25">
      <c r="A134" s="191"/>
      <c r="B134" s="189"/>
      <c r="C134" s="192"/>
      <c r="D134" s="184" t="s">
        <v>138</v>
      </c>
      <c r="E134" s="185">
        <v>50571</v>
      </c>
      <c r="F134" s="186">
        <v>7.1249999999999994E-2</v>
      </c>
      <c r="G134" s="186">
        <v>6.7699999999999996E-2</v>
      </c>
      <c r="H134" s="186">
        <v>6.9500000000000006E-2</v>
      </c>
      <c r="I134" s="187">
        <v>6.7999400000000002E-2</v>
      </c>
      <c r="J134" s="195">
        <v>6.8199999999999997E-2</v>
      </c>
      <c r="K134" s="216">
        <v>5590000</v>
      </c>
      <c r="L134" s="219">
        <v>3100000</v>
      </c>
      <c r="M134" s="188">
        <f>IF(L134=0,0,K134/L134)</f>
        <v>1.8032258064516129</v>
      </c>
    </row>
    <row r="135" spans="1:13" ht="12.75" customHeight="1" outlineLevel="1" x14ac:dyDescent="0.25">
      <c r="A135" s="191"/>
      <c r="B135" s="189"/>
      <c r="C135" s="192"/>
      <c r="D135" s="184" t="s">
        <v>137</v>
      </c>
      <c r="E135" s="185">
        <v>52397</v>
      </c>
      <c r="F135" s="186">
        <v>7.1249999999999994E-2</v>
      </c>
      <c r="G135" s="186">
        <v>6.8000000000000005E-2</v>
      </c>
      <c r="H135" s="186">
        <v>7.0000000000000007E-2</v>
      </c>
      <c r="I135" s="187">
        <v>6.8666000000000005E-2</v>
      </c>
      <c r="J135" s="196">
        <v>6.9000000000000006E-2</v>
      </c>
      <c r="K135" s="220">
        <v>2568600</v>
      </c>
      <c r="L135" s="219">
        <v>2000000</v>
      </c>
      <c r="M135" s="188">
        <f>IF(L135=0,0,K135/L135)</f>
        <v>1.2843</v>
      </c>
    </row>
    <row r="136" spans="1:13" ht="12.75" customHeight="1" outlineLevel="1" x14ac:dyDescent="0.25">
      <c r="A136" s="191"/>
      <c r="B136" s="200"/>
      <c r="C136" s="192"/>
      <c r="D136" s="184" t="s">
        <v>146</v>
      </c>
      <c r="E136" s="185">
        <v>56445</v>
      </c>
      <c r="F136" s="186">
        <v>6.8750000000000006E-2</v>
      </c>
      <c r="G136" s="186">
        <v>6.88E-2</v>
      </c>
      <c r="H136" s="186">
        <v>7.0300000000000001E-2</v>
      </c>
      <c r="I136" s="197">
        <v>6.9397399999999998E-2</v>
      </c>
      <c r="J136" s="196">
        <v>6.9599999999999995E-2</v>
      </c>
      <c r="K136" s="220">
        <v>6011700</v>
      </c>
      <c r="L136" s="218">
        <v>3400000</v>
      </c>
      <c r="M136" s="201">
        <f>IF(L136=0,0,K136/L136)</f>
        <v>1.7681470588235295</v>
      </c>
    </row>
    <row r="137" spans="1:13" s="1" customFormat="1" ht="12.75" customHeight="1" outlineLevel="1" x14ac:dyDescent="0.25">
      <c r="A137" s="293" t="s">
        <v>121</v>
      </c>
      <c r="B137" s="294"/>
      <c r="C137" s="295"/>
      <c r="D137" s="295"/>
      <c r="E137" s="295"/>
      <c r="F137" s="295"/>
      <c r="G137" s="295"/>
      <c r="H137" s="295"/>
      <c r="I137" s="295"/>
      <c r="J137" s="296"/>
      <c r="K137" s="190">
        <f>SUM(K130:K136)</f>
        <v>58938200</v>
      </c>
      <c r="L137" s="190">
        <f>SUM(L130:L136)</f>
        <v>24000000</v>
      </c>
      <c r="M137" s="193"/>
    </row>
    <row r="138" spans="1:13" s="1" customFormat="1" ht="12.75" customHeight="1" outlineLevel="1" x14ac:dyDescent="0.25">
      <c r="A138" s="164">
        <v>45370</v>
      </c>
      <c r="B138" s="164">
        <v>45372</v>
      </c>
      <c r="C138" s="160" t="s">
        <v>136</v>
      </c>
      <c r="D138" s="172" t="s">
        <v>186</v>
      </c>
      <c r="E138" s="158">
        <v>45538</v>
      </c>
      <c r="F138" s="166" t="s">
        <v>128</v>
      </c>
      <c r="G138" s="258">
        <v>6.3500000000000001E-2</v>
      </c>
      <c r="H138" s="166">
        <v>6.4500000000000002E-2</v>
      </c>
      <c r="I138" s="166">
        <v>6.4100000000000004E-2</v>
      </c>
      <c r="J138" s="166">
        <v>6.4500000000000002E-2</v>
      </c>
      <c r="K138" s="256">
        <v>2165000</v>
      </c>
      <c r="L138" s="257">
        <v>450000</v>
      </c>
      <c r="M138" s="170">
        <f>IF(L138=0,0,K138/L138)</f>
        <v>4.8111111111111109</v>
      </c>
    </row>
    <row r="139" spans="1:13" s="1" customFormat="1" ht="12.75" customHeight="1" outlineLevel="1" x14ac:dyDescent="0.25">
      <c r="A139" s="164"/>
      <c r="B139" s="164"/>
      <c r="C139" s="160"/>
      <c r="D139" s="172" t="s">
        <v>187</v>
      </c>
      <c r="E139" s="158">
        <v>45628</v>
      </c>
      <c r="F139" s="166" t="s">
        <v>128</v>
      </c>
      <c r="G139" s="166">
        <v>6.4000000000000001E-2</v>
      </c>
      <c r="H139" s="166">
        <v>6.6500000000000004E-2</v>
      </c>
      <c r="I139" s="178">
        <v>6.4721000000000001E-2</v>
      </c>
      <c r="J139" s="180">
        <v>6.5000000000000002E-2</v>
      </c>
      <c r="K139" s="256">
        <v>4408800</v>
      </c>
      <c r="L139" s="257">
        <v>1200000</v>
      </c>
      <c r="M139" s="170">
        <f t="shared" ref="M139:M144" si="21">IF(L139=0,0,K139/L139)</f>
        <v>3.6739999999999999</v>
      </c>
    </row>
    <row r="140" spans="1:13" s="1" customFormat="1" ht="12.75" customHeight="1" outlineLevel="1" x14ac:dyDescent="0.25">
      <c r="A140" s="164"/>
      <c r="B140" s="158"/>
      <c r="C140" s="160"/>
      <c r="D140" s="172" t="s">
        <v>150</v>
      </c>
      <c r="E140" s="158">
        <v>46218</v>
      </c>
      <c r="F140" s="166">
        <v>4.8750000000000002E-2</v>
      </c>
      <c r="G140" s="166">
        <v>6.5799999999999997E-2</v>
      </c>
      <c r="H140" s="166">
        <v>6.7599999999999993E-2</v>
      </c>
      <c r="I140" s="175">
        <v>6.61997E-2</v>
      </c>
      <c r="J140" s="180">
        <v>6.6400000000000001E-2</v>
      </c>
      <c r="K140" s="256">
        <v>6927300</v>
      </c>
      <c r="L140" s="256">
        <v>3850000</v>
      </c>
      <c r="M140" s="170">
        <f t="shared" si="21"/>
        <v>1.7992987012987014</v>
      </c>
    </row>
    <row r="141" spans="1:13" s="1" customFormat="1" ht="12.75" customHeight="1" outlineLevel="1" x14ac:dyDescent="0.25">
      <c r="A141" s="156"/>
      <c r="B141" s="156"/>
      <c r="C141" s="156"/>
      <c r="D141" s="2" t="s">
        <v>151</v>
      </c>
      <c r="E141" s="158">
        <v>46949</v>
      </c>
      <c r="F141" s="177">
        <v>5.8749999999999997E-2</v>
      </c>
      <c r="G141" s="166">
        <v>6.4299999999999996E-2</v>
      </c>
      <c r="H141" s="166">
        <v>6.6500000000000004E-2</v>
      </c>
      <c r="I141" s="175">
        <v>6.4880900000000005E-2</v>
      </c>
      <c r="J141" s="166">
        <v>6.6100000000000006E-2</v>
      </c>
      <c r="K141" s="256">
        <v>1344200</v>
      </c>
      <c r="L141" s="256">
        <v>1200000</v>
      </c>
      <c r="M141" s="170">
        <f t="shared" si="21"/>
        <v>1.1201666666666668</v>
      </c>
    </row>
    <row r="142" spans="1:13" s="1" customFormat="1" ht="12.75" customHeight="1" outlineLevel="1" x14ac:dyDescent="0.25">
      <c r="A142" s="156"/>
      <c r="B142" s="156"/>
      <c r="C142" s="156"/>
      <c r="D142" s="172" t="s">
        <v>139</v>
      </c>
      <c r="E142" s="158">
        <v>47376</v>
      </c>
      <c r="F142" s="166">
        <v>6.6250000000000003E-2</v>
      </c>
      <c r="G142" s="166">
        <v>6.5299999999999997E-2</v>
      </c>
      <c r="H142" s="166">
        <v>6.7000000000000004E-2</v>
      </c>
      <c r="I142" s="175">
        <v>6.6026399999999999E-2</v>
      </c>
      <c r="J142" s="175">
        <v>6.6500000000000004E-2</v>
      </c>
      <c r="K142" s="256">
        <v>1072200</v>
      </c>
      <c r="L142" s="256">
        <v>1000000</v>
      </c>
      <c r="M142" s="170">
        <f t="shared" si="21"/>
        <v>1.0722</v>
      </c>
    </row>
    <row r="143" spans="1:13" s="1" customFormat="1" ht="12.75" customHeight="1" outlineLevel="1" x14ac:dyDescent="0.25">
      <c r="A143" s="156"/>
      <c r="B143" s="156"/>
      <c r="C143" s="156"/>
      <c r="D143" s="172" t="s">
        <v>53</v>
      </c>
      <c r="E143" s="158">
        <v>50086</v>
      </c>
      <c r="F143" s="166">
        <v>6.0999999999999999E-2</v>
      </c>
      <c r="G143" s="166">
        <v>6.6199999999999995E-2</v>
      </c>
      <c r="H143" s="166">
        <v>6.7900000000000002E-2</v>
      </c>
      <c r="I143" s="175">
        <v>6.7199300000000003E-2</v>
      </c>
      <c r="J143" s="175">
        <v>6.7599999999999993E-2</v>
      </c>
      <c r="K143" s="256">
        <v>835100</v>
      </c>
      <c r="L143" s="256">
        <v>750000</v>
      </c>
      <c r="M143" s="170">
        <f t="shared" si="21"/>
        <v>1.1134666666666666</v>
      </c>
    </row>
    <row r="144" spans="1:13" s="1" customFormat="1" ht="12.75" customHeight="1" outlineLevel="1" x14ac:dyDescent="0.25">
      <c r="A144" s="181"/>
      <c r="B144" s="156"/>
      <c r="C144" s="182"/>
      <c r="D144" s="172" t="s">
        <v>142</v>
      </c>
      <c r="E144" s="158">
        <v>54772</v>
      </c>
      <c r="F144" s="166">
        <v>6.8750000000000006E-2</v>
      </c>
      <c r="G144" s="166">
        <v>6.9500000000000006E-2</v>
      </c>
      <c r="H144" s="166">
        <v>7.0999999999999994E-2</v>
      </c>
      <c r="I144" s="175">
        <v>6.9688299999999995E-2</v>
      </c>
      <c r="J144" s="175">
        <v>7.0099999999999996E-2</v>
      </c>
      <c r="K144" s="256">
        <v>4314600</v>
      </c>
      <c r="L144" s="256">
        <v>3550000</v>
      </c>
      <c r="M144" s="170">
        <f t="shared" si="21"/>
        <v>1.2153802816901409</v>
      </c>
    </row>
    <row r="145" spans="1:13" s="1" customFormat="1" ht="12.75" customHeight="1" outlineLevel="1" x14ac:dyDescent="0.25">
      <c r="A145" s="297" t="s">
        <v>121</v>
      </c>
      <c r="B145" s="298"/>
      <c r="C145" s="298"/>
      <c r="D145" s="298"/>
      <c r="E145" s="298"/>
      <c r="F145" s="298"/>
      <c r="G145" s="298"/>
      <c r="H145" s="298"/>
      <c r="I145" s="298"/>
      <c r="J145" s="299"/>
      <c r="K145" s="173">
        <f>SUM(K138:K144)</f>
        <v>21067200</v>
      </c>
      <c r="L145" s="173">
        <f>SUM(L138:L144)</f>
        <v>12000000</v>
      </c>
      <c r="M145" s="165"/>
    </row>
    <row r="146" spans="1:13" ht="12" customHeight="1" outlineLevel="1" x14ac:dyDescent="0.2">
      <c r="A146" s="198">
        <v>45377</v>
      </c>
      <c r="B146" s="215">
        <v>45379</v>
      </c>
      <c r="C146" s="199" t="s">
        <v>136</v>
      </c>
      <c r="D146" s="184" t="s">
        <v>192</v>
      </c>
      <c r="E146" s="185">
        <v>45471</v>
      </c>
      <c r="F146" s="186" t="s">
        <v>128</v>
      </c>
      <c r="G146" s="202">
        <v>6.3799999999999996E-2</v>
      </c>
      <c r="H146" s="202">
        <v>6.4000000000000001E-2</v>
      </c>
      <c r="I146" s="194" t="s">
        <v>130</v>
      </c>
      <c r="J146" s="194" t="s">
        <v>130</v>
      </c>
      <c r="K146" s="216">
        <v>2290000</v>
      </c>
      <c r="L146" s="217">
        <v>0</v>
      </c>
      <c r="M146" s="188">
        <f t="shared" ref="M146:M147" si="22">IF(L146=0,0,K146/L146)</f>
        <v>0</v>
      </c>
    </row>
    <row r="147" spans="1:13" ht="12" customHeight="1" outlineLevel="1" x14ac:dyDescent="0.2">
      <c r="A147" s="198"/>
      <c r="B147" s="183"/>
      <c r="C147" s="199"/>
      <c r="D147" s="184" t="s">
        <v>190</v>
      </c>
      <c r="E147" s="185">
        <v>45730</v>
      </c>
      <c r="F147" s="186" t="s">
        <v>128</v>
      </c>
      <c r="G147" s="186">
        <v>6.4299999999999996E-2</v>
      </c>
      <c r="H147" s="186">
        <v>6.8500000000000005E-2</v>
      </c>
      <c r="I147" s="202">
        <v>6.4547999999999994E-2</v>
      </c>
      <c r="J147" s="203">
        <v>6.4799999999999996E-2</v>
      </c>
      <c r="K147" s="216">
        <v>4943700</v>
      </c>
      <c r="L147" s="218">
        <v>2000000</v>
      </c>
      <c r="M147" s="188">
        <f t="shared" si="22"/>
        <v>2.4718499999999999</v>
      </c>
    </row>
    <row r="148" spans="1:13" ht="12.75" customHeight="1" outlineLevel="1" x14ac:dyDescent="0.2">
      <c r="A148" s="198"/>
      <c r="B148" s="185"/>
      <c r="C148" s="199"/>
      <c r="D148" s="184" t="s">
        <v>141</v>
      </c>
      <c r="E148" s="185">
        <v>47223</v>
      </c>
      <c r="F148" s="186">
        <v>6.8750000000000006E-2</v>
      </c>
      <c r="G148" s="186">
        <v>6.5299999999999997E-2</v>
      </c>
      <c r="H148" s="186">
        <v>6.6500000000000004E-2</v>
      </c>
      <c r="I148" s="187">
        <v>6.5698900000000005E-2</v>
      </c>
      <c r="J148" s="195">
        <v>6.6000000000000003E-2</v>
      </c>
      <c r="K148" s="216">
        <v>8365500</v>
      </c>
      <c r="L148" s="219">
        <v>7450000</v>
      </c>
      <c r="M148" s="188">
        <f>IF(L148=0,0,K148/L148)</f>
        <v>1.1228859060402685</v>
      </c>
    </row>
    <row r="149" spans="1:13" ht="12.75" customHeight="1" outlineLevel="1" x14ac:dyDescent="0.25">
      <c r="A149" s="191"/>
      <c r="B149" s="189"/>
      <c r="C149" s="192"/>
      <c r="D149" s="184" t="s">
        <v>140</v>
      </c>
      <c r="E149" s="185">
        <v>48990</v>
      </c>
      <c r="F149" s="186">
        <v>6.6250000000000003E-2</v>
      </c>
      <c r="G149" s="186">
        <v>6.6500000000000004E-2</v>
      </c>
      <c r="H149" s="186">
        <v>6.7599999999999993E-2</v>
      </c>
      <c r="I149" s="196">
        <v>6.6798499999999997E-2</v>
      </c>
      <c r="J149" s="197">
        <v>6.7000000000000004E-2</v>
      </c>
      <c r="K149" s="216">
        <v>5650500</v>
      </c>
      <c r="L149" s="218">
        <v>4650000</v>
      </c>
      <c r="M149" s="188">
        <f>IF(L149=0,0,K149/L149)</f>
        <v>1.2151612903225806</v>
      </c>
    </row>
    <row r="150" spans="1:13" ht="12.75" customHeight="1" outlineLevel="1" x14ac:dyDescent="0.25">
      <c r="A150" s="191"/>
      <c r="B150" s="189"/>
      <c r="C150" s="192"/>
      <c r="D150" s="184" t="s">
        <v>138</v>
      </c>
      <c r="E150" s="185">
        <v>50571</v>
      </c>
      <c r="F150" s="186">
        <v>7.1249999999999994E-2</v>
      </c>
      <c r="G150" s="186">
        <v>6.8599999999999994E-2</v>
      </c>
      <c r="H150" s="186">
        <v>7.0000000000000007E-2</v>
      </c>
      <c r="I150" s="187">
        <v>6.8895399999999996E-2</v>
      </c>
      <c r="J150" s="195">
        <v>6.9099999999999995E-2</v>
      </c>
      <c r="K150" s="216">
        <v>2770900</v>
      </c>
      <c r="L150" s="219">
        <v>1900000</v>
      </c>
      <c r="M150" s="188">
        <f>IF(L150=0,0,K150/L150)</f>
        <v>1.4583684210526315</v>
      </c>
    </row>
    <row r="151" spans="1:13" ht="12.75" customHeight="1" outlineLevel="1" x14ac:dyDescent="0.25">
      <c r="A151" s="191"/>
      <c r="B151" s="189"/>
      <c r="C151" s="192"/>
      <c r="D151" s="184" t="s">
        <v>137</v>
      </c>
      <c r="E151" s="185">
        <v>52397</v>
      </c>
      <c r="F151" s="186">
        <v>7.1249999999999994E-2</v>
      </c>
      <c r="G151" s="186">
        <v>6.9000000000000006E-2</v>
      </c>
      <c r="H151" s="186">
        <v>7.0000000000000007E-2</v>
      </c>
      <c r="I151" s="187">
        <v>6.9399799999999998E-2</v>
      </c>
      <c r="J151" s="196">
        <v>6.9599999999999995E-2</v>
      </c>
      <c r="K151" s="220">
        <v>2273300</v>
      </c>
      <c r="L151" s="219">
        <v>1700000</v>
      </c>
      <c r="M151" s="188">
        <f>IF(L151=0,0,K151/L151)</f>
        <v>1.3372352941176471</v>
      </c>
    </row>
    <row r="152" spans="1:13" ht="12.75" customHeight="1" outlineLevel="1" x14ac:dyDescent="0.25">
      <c r="A152" s="191"/>
      <c r="B152" s="200"/>
      <c r="C152" s="192"/>
      <c r="D152" s="184" t="s">
        <v>146</v>
      </c>
      <c r="E152" s="185">
        <v>56445</v>
      </c>
      <c r="F152" s="186">
        <v>6.8750000000000006E-2</v>
      </c>
      <c r="G152" s="186">
        <v>6.9099999999999995E-2</v>
      </c>
      <c r="H152" s="186">
        <v>7.0400000000000004E-2</v>
      </c>
      <c r="I152" s="197">
        <v>6.9598300000000002E-2</v>
      </c>
      <c r="J152" s="196">
        <v>6.9800000000000001E-2</v>
      </c>
      <c r="K152" s="220">
        <v>6045800</v>
      </c>
      <c r="L152" s="218">
        <v>4900000</v>
      </c>
      <c r="M152" s="201">
        <f>IF(L152=0,0,K152/L152)</f>
        <v>1.2338367346938774</v>
      </c>
    </row>
    <row r="153" spans="1:13" s="1" customFormat="1" ht="12.75" customHeight="1" outlineLevel="1" x14ac:dyDescent="0.25">
      <c r="A153" s="293" t="s">
        <v>121</v>
      </c>
      <c r="B153" s="294"/>
      <c r="C153" s="295"/>
      <c r="D153" s="295"/>
      <c r="E153" s="295"/>
      <c r="F153" s="295"/>
      <c r="G153" s="295"/>
      <c r="H153" s="295"/>
      <c r="I153" s="295"/>
      <c r="J153" s="296"/>
      <c r="K153" s="190">
        <f>SUM(K146:K152)</f>
        <v>32339700</v>
      </c>
      <c r="L153" s="190">
        <f>SUM(L146:L152)</f>
        <v>22600000</v>
      </c>
      <c r="M153" s="193"/>
    </row>
    <row r="154" spans="1:13" ht="12.75" customHeight="1" x14ac:dyDescent="0.25">
      <c r="A154" s="300" t="s">
        <v>188</v>
      </c>
      <c r="B154" s="301"/>
      <c r="C154" s="301"/>
      <c r="D154" s="301"/>
      <c r="E154" s="301"/>
      <c r="F154" s="301"/>
      <c r="G154" s="301"/>
      <c r="H154" s="301"/>
      <c r="I154" s="301"/>
      <c r="J154" s="302"/>
      <c r="K154" s="173">
        <f>K129+K137+K145+K153</f>
        <v>129396200</v>
      </c>
      <c r="L154" s="173">
        <f>L129+L137+L145+L153</f>
        <v>65980000</v>
      </c>
      <c r="M154" s="165"/>
    </row>
    <row r="155" spans="1:13" ht="12.75" customHeight="1" x14ac:dyDescent="0.25">
      <c r="A155" s="300" t="s">
        <v>191</v>
      </c>
      <c r="B155" s="301"/>
      <c r="C155" s="301"/>
      <c r="D155" s="301"/>
      <c r="E155" s="301"/>
      <c r="F155" s="301"/>
      <c r="G155" s="301"/>
      <c r="H155" s="301"/>
      <c r="I155" s="301"/>
      <c r="J155" s="302"/>
      <c r="K155" s="173">
        <f>K74+K120+K154</f>
        <v>581574002</v>
      </c>
      <c r="L155" s="173">
        <f>L74+L120+L154</f>
        <v>301682602</v>
      </c>
      <c r="M155" s="165"/>
    </row>
    <row r="156" spans="1:13" x14ac:dyDescent="0.2">
      <c r="A156" s="259">
        <v>45383</v>
      </c>
      <c r="B156" s="260">
        <v>45385</v>
      </c>
      <c r="C156" s="261" t="s">
        <v>155</v>
      </c>
      <c r="D156" s="172" t="s">
        <v>193</v>
      </c>
      <c r="E156" s="158">
        <v>46456</v>
      </c>
      <c r="F156" s="166">
        <v>6.3E-2</v>
      </c>
      <c r="G156" s="178"/>
      <c r="H156" s="178"/>
      <c r="I156" s="262"/>
      <c r="J156" s="262"/>
      <c r="K156" s="256">
        <v>17784237</v>
      </c>
      <c r="L156" s="263">
        <v>17784237</v>
      </c>
      <c r="M156" s="264">
        <f t="shared" ref="M156:M157" si="23">IF(L156=0,0,K156/L156)</f>
        <v>1</v>
      </c>
    </row>
    <row r="157" spans="1:13" x14ac:dyDescent="0.2">
      <c r="A157" s="259"/>
      <c r="B157" s="273"/>
      <c r="C157" s="261"/>
      <c r="D157" s="172" t="s">
        <v>194</v>
      </c>
      <c r="E157" s="158">
        <v>47187</v>
      </c>
      <c r="F157" s="166">
        <v>6.4000000000000001E-2</v>
      </c>
      <c r="G157" s="166"/>
      <c r="H157" s="166"/>
      <c r="I157" s="178"/>
      <c r="J157" s="180"/>
      <c r="K157" s="256">
        <v>3575013</v>
      </c>
      <c r="L157" s="265">
        <v>3575013</v>
      </c>
      <c r="M157" s="271">
        <f t="shared" si="23"/>
        <v>1</v>
      </c>
    </row>
    <row r="158" spans="1:13" ht="10.5" x14ac:dyDescent="0.25">
      <c r="A158" s="297" t="s">
        <v>121</v>
      </c>
      <c r="B158" s="303"/>
      <c r="C158" s="298"/>
      <c r="D158" s="298"/>
      <c r="E158" s="298"/>
      <c r="F158" s="298"/>
      <c r="G158" s="298"/>
      <c r="H158" s="298"/>
      <c r="I158" s="298"/>
      <c r="J158" s="299"/>
      <c r="K158" s="176">
        <f>SUM(K156:K157)</f>
        <v>21359250</v>
      </c>
      <c r="L158" s="176">
        <f>SUM(L156:L157)</f>
        <v>21359250</v>
      </c>
      <c r="M158" s="272"/>
    </row>
    <row r="159" spans="1:13" x14ac:dyDescent="0.2">
      <c r="A159" s="164">
        <v>45405</v>
      </c>
      <c r="B159" s="164">
        <v>45407</v>
      </c>
      <c r="C159" s="160" t="s">
        <v>136</v>
      </c>
      <c r="D159" s="172" t="s">
        <v>195</v>
      </c>
      <c r="E159" s="158">
        <v>45587</v>
      </c>
      <c r="F159" s="166" t="s">
        <v>128</v>
      </c>
      <c r="G159" s="258">
        <v>6.5000000000000002E-2</v>
      </c>
      <c r="H159" s="166">
        <v>6.6500000000000004E-2</v>
      </c>
      <c r="I159" s="166">
        <v>6.5000000000000002E-2</v>
      </c>
      <c r="J159" s="166">
        <v>6.5000000000000002E-2</v>
      </c>
      <c r="K159" s="256">
        <v>2071000</v>
      </c>
      <c r="L159" s="257">
        <v>20000</v>
      </c>
      <c r="M159" s="170">
        <f>IF(L159=0,0,K159/L159)</f>
        <v>103.55</v>
      </c>
    </row>
    <row r="160" spans="1:13" x14ac:dyDescent="0.2">
      <c r="A160" s="164"/>
      <c r="B160" s="164"/>
      <c r="C160" s="160"/>
      <c r="D160" s="172" t="s">
        <v>196</v>
      </c>
      <c r="E160" s="158">
        <v>45677</v>
      </c>
      <c r="F160" s="166" t="s">
        <v>128</v>
      </c>
      <c r="G160" s="166">
        <v>6.5000000000000002E-2</v>
      </c>
      <c r="H160" s="166">
        <v>6.9000000000000006E-2</v>
      </c>
      <c r="I160" s="178">
        <v>6.6599800000000001E-2</v>
      </c>
      <c r="J160" s="180">
        <v>6.6900000000000001E-2</v>
      </c>
      <c r="K160" s="256">
        <v>4690200</v>
      </c>
      <c r="L160" s="257">
        <v>1690000</v>
      </c>
      <c r="M160" s="170">
        <f t="shared" ref="M160:M165" si="24">IF(L160=0,0,K160/L160)</f>
        <v>2.7752662721893491</v>
      </c>
    </row>
    <row r="161" spans="1:13" x14ac:dyDescent="0.2">
      <c r="A161" s="164"/>
      <c r="B161" s="158"/>
      <c r="C161" s="160"/>
      <c r="D161" s="172" t="s">
        <v>150</v>
      </c>
      <c r="E161" s="158">
        <v>46218</v>
      </c>
      <c r="F161" s="166">
        <v>4.8750000000000002E-2</v>
      </c>
      <c r="G161" s="166">
        <v>6.7400000000000002E-2</v>
      </c>
      <c r="H161" s="166">
        <v>7.1199999999999999E-2</v>
      </c>
      <c r="I161" s="175">
        <v>6.9097000000000006E-2</v>
      </c>
      <c r="J161" s="180">
        <v>6.9800000000000001E-2</v>
      </c>
      <c r="K161" s="256">
        <v>3542500</v>
      </c>
      <c r="L161" s="256">
        <v>1050000</v>
      </c>
      <c r="M161" s="170">
        <f t="shared" si="24"/>
        <v>3.3738095238095238</v>
      </c>
    </row>
    <row r="162" spans="1:13" ht="10.5" x14ac:dyDescent="0.25">
      <c r="A162" s="156"/>
      <c r="B162" s="156"/>
      <c r="C162" s="156"/>
      <c r="D162" s="2" t="s">
        <v>151</v>
      </c>
      <c r="E162" s="158">
        <v>46949</v>
      </c>
      <c r="F162" s="177">
        <v>5.8749999999999997E-2</v>
      </c>
      <c r="G162" s="166">
        <v>6.7500000000000004E-2</v>
      </c>
      <c r="H162" s="166">
        <v>7.2499999999999995E-2</v>
      </c>
      <c r="I162" s="175">
        <v>6.8487500000000007E-2</v>
      </c>
      <c r="J162" s="166">
        <v>6.88E-2</v>
      </c>
      <c r="K162" s="256">
        <v>1538000</v>
      </c>
      <c r="L162" s="256">
        <v>80000</v>
      </c>
      <c r="M162" s="170">
        <f t="shared" si="24"/>
        <v>19.225000000000001</v>
      </c>
    </row>
    <row r="163" spans="1:13" ht="10.5" x14ac:dyDescent="0.25">
      <c r="A163" s="156"/>
      <c r="B163" s="156"/>
      <c r="C163" s="156"/>
      <c r="D163" s="172" t="s">
        <v>53</v>
      </c>
      <c r="E163" s="158">
        <v>50086</v>
      </c>
      <c r="F163" s="166">
        <v>6.0999999999999999E-2</v>
      </c>
      <c r="G163" s="166">
        <v>6.9400000000000003E-2</v>
      </c>
      <c r="H163" s="166">
        <v>7.1999999999999995E-2</v>
      </c>
      <c r="I163" s="175">
        <v>6.9500000000000006E-2</v>
      </c>
      <c r="J163" s="175">
        <v>6.9900000000000004E-2</v>
      </c>
      <c r="K163" s="256">
        <v>2015000</v>
      </c>
      <c r="L163" s="256">
        <v>50000</v>
      </c>
      <c r="M163" s="170">
        <f t="shared" si="24"/>
        <v>40.299999999999997</v>
      </c>
    </row>
    <row r="164" spans="1:13" ht="10.5" x14ac:dyDescent="0.25">
      <c r="A164" s="156"/>
      <c r="B164" s="156"/>
      <c r="C164" s="156"/>
      <c r="D164" s="172" t="s">
        <v>152</v>
      </c>
      <c r="E164" s="158">
        <v>54772</v>
      </c>
      <c r="F164" s="166">
        <v>6.6250000000000003E-2</v>
      </c>
      <c r="G164" s="166">
        <v>6.9199999999999998E-2</v>
      </c>
      <c r="H164" s="166">
        <v>7.2499999999999995E-2</v>
      </c>
      <c r="I164" s="175">
        <v>7.1299799999999997E-2</v>
      </c>
      <c r="J164" s="175">
        <v>7.1499999999999994E-2</v>
      </c>
      <c r="K164" s="256">
        <v>1679000</v>
      </c>
      <c r="L164" s="256">
        <v>1470000</v>
      </c>
      <c r="M164" s="170">
        <f t="shared" si="24"/>
        <v>1.1421768707482993</v>
      </c>
    </row>
    <row r="165" spans="1:13" ht="10.5" x14ac:dyDescent="0.25">
      <c r="A165" s="181"/>
      <c r="B165" s="156"/>
      <c r="C165" s="182"/>
      <c r="D165" s="172" t="s">
        <v>142</v>
      </c>
      <c r="E165" s="158">
        <v>51697</v>
      </c>
      <c r="F165" s="166">
        <v>6.8750000000000006E-2</v>
      </c>
      <c r="G165" s="166">
        <v>7.0499999999999993E-2</v>
      </c>
      <c r="H165" s="166">
        <v>7.2499999999999995E-2</v>
      </c>
      <c r="I165" s="175">
        <v>7.1497500000000005E-2</v>
      </c>
      <c r="J165" s="175">
        <v>7.2499999999999995E-2</v>
      </c>
      <c r="K165" s="256">
        <v>732200</v>
      </c>
      <c r="L165" s="256">
        <v>715000</v>
      </c>
      <c r="M165" s="170">
        <f t="shared" si="24"/>
        <v>1.024055944055944</v>
      </c>
    </row>
    <row r="166" spans="1:13" ht="10.5" x14ac:dyDescent="0.25">
      <c r="A166" s="297" t="s">
        <v>121</v>
      </c>
      <c r="B166" s="298"/>
      <c r="C166" s="298"/>
      <c r="D166" s="298"/>
      <c r="E166" s="298"/>
      <c r="F166" s="298"/>
      <c r="G166" s="298"/>
      <c r="H166" s="298"/>
      <c r="I166" s="298"/>
      <c r="J166" s="299"/>
      <c r="K166" s="255">
        <f>SUM(K159:K165)</f>
        <v>16267900</v>
      </c>
      <c r="L166" s="255">
        <f>SUM(L159:L165)</f>
        <v>5075000</v>
      </c>
      <c r="M166" s="165"/>
    </row>
    <row r="167" spans="1:13" x14ac:dyDescent="0.2">
      <c r="A167" s="259">
        <v>45406</v>
      </c>
      <c r="B167" s="260">
        <v>45407</v>
      </c>
      <c r="C167" s="261" t="s">
        <v>136</v>
      </c>
      <c r="D167" s="172" t="s">
        <v>195</v>
      </c>
      <c r="E167" s="158">
        <v>45587</v>
      </c>
      <c r="F167" s="166" t="s">
        <v>128</v>
      </c>
      <c r="G167" s="178">
        <v>6.5000000000000002E-2</v>
      </c>
      <c r="H167" s="178">
        <v>6.6500000000000004E-2</v>
      </c>
      <c r="I167" s="262">
        <v>6.5000000000000002E-2</v>
      </c>
      <c r="J167" s="262">
        <v>6.5000000000000002E-2</v>
      </c>
      <c r="K167" s="256">
        <v>2025000</v>
      </c>
      <c r="L167" s="263">
        <v>2025000</v>
      </c>
      <c r="M167" s="264">
        <f t="shared" ref="M167:M168" si="25">IF(L167=0,0,K167/L167)</f>
        <v>1</v>
      </c>
    </row>
    <row r="168" spans="1:13" x14ac:dyDescent="0.2">
      <c r="A168" s="259"/>
      <c r="B168" s="164"/>
      <c r="C168" s="261" t="s">
        <v>197</v>
      </c>
      <c r="D168" s="172" t="s">
        <v>196</v>
      </c>
      <c r="E168" s="158">
        <v>45677</v>
      </c>
      <c r="F168" s="166" t="s">
        <v>128</v>
      </c>
      <c r="G168" s="166">
        <v>6.5000000000000002E-2</v>
      </c>
      <c r="H168" s="166">
        <v>6.9000000000000006E-2</v>
      </c>
      <c r="I168" s="178">
        <v>6.6599800000000001E-2</v>
      </c>
      <c r="J168" s="180">
        <v>6.6900000000000001E-2</v>
      </c>
      <c r="K168" s="256">
        <v>3155000</v>
      </c>
      <c r="L168" s="265">
        <v>1118700</v>
      </c>
      <c r="M168" s="264">
        <f t="shared" si="25"/>
        <v>2.8202377759899884</v>
      </c>
    </row>
    <row r="169" spans="1:13" x14ac:dyDescent="0.2">
      <c r="A169" s="259"/>
      <c r="B169" s="158"/>
      <c r="C169" s="261"/>
      <c r="D169" s="172" t="s">
        <v>150</v>
      </c>
      <c r="E169" s="158">
        <v>46218</v>
      </c>
      <c r="F169" s="166">
        <v>4.8750000000000002E-2</v>
      </c>
      <c r="G169" s="166">
        <v>6.7400000000000002E-2</v>
      </c>
      <c r="H169" s="166">
        <v>7.1199999999999999E-2</v>
      </c>
      <c r="I169" s="266">
        <v>6.9097000000000006E-2</v>
      </c>
      <c r="J169" s="159">
        <v>6.9800000000000001E-2</v>
      </c>
      <c r="K169" s="256">
        <v>312000</v>
      </c>
      <c r="L169" s="267">
        <v>312000</v>
      </c>
      <c r="M169" s="264">
        <f>IF(L169=0,0,K169/L169)</f>
        <v>1</v>
      </c>
    </row>
    <row r="170" spans="1:13" ht="10.5" x14ac:dyDescent="0.25">
      <c r="A170" s="181"/>
      <c r="B170" s="156"/>
      <c r="C170" s="182"/>
      <c r="D170" s="172" t="s">
        <v>151</v>
      </c>
      <c r="E170" s="158">
        <v>46949</v>
      </c>
      <c r="F170" s="166">
        <v>5.8749999999999997E-2</v>
      </c>
      <c r="G170" s="166">
        <v>6.7500000000000004E-2</v>
      </c>
      <c r="H170" s="166">
        <v>7.2499999999999995E-2</v>
      </c>
      <c r="I170" s="175">
        <v>6.8487500000000007E-2</v>
      </c>
      <c r="J170" s="268">
        <v>6.88E-2</v>
      </c>
      <c r="K170" s="256">
        <v>198000</v>
      </c>
      <c r="L170" s="265">
        <v>198000</v>
      </c>
      <c r="M170" s="264">
        <f>IF(L170=0,0,K170/L170)</f>
        <v>1</v>
      </c>
    </row>
    <row r="171" spans="1:13" ht="10.5" x14ac:dyDescent="0.25">
      <c r="A171" s="181"/>
      <c r="B171" s="156"/>
      <c r="C171" s="182"/>
      <c r="D171" s="172" t="s">
        <v>53</v>
      </c>
      <c r="E171" s="158">
        <v>50086</v>
      </c>
      <c r="F171" s="166">
        <v>6.0999999999999999E-2</v>
      </c>
      <c r="G171" s="166">
        <v>6.9400000000000003E-2</v>
      </c>
      <c r="H171" s="166">
        <v>7.1999999999999995E-2</v>
      </c>
      <c r="I171" s="266">
        <v>6.9500000000000006E-2</v>
      </c>
      <c r="J171" s="159">
        <v>6.9900000000000004E-2</v>
      </c>
      <c r="K171" s="256">
        <v>127800</v>
      </c>
      <c r="L171" s="267">
        <v>127800</v>
      </c>
      <c r="M171" s="264">
        <f>IF(L171=0,0,K171/L171)</f>
        <v>1</v>
      </c>
    </row>
    <row r="172" spans="1:13" ht="10.5" x14ac:dyDescent="0.25">
      <c r="A172" s="181"/>
      <c r="B172" s="156"/>
      <c r="C172" s="182"/>
      <c r="D172" s="172" t="s">
        <v>152</v>
      </c>
      <c r="E172" s="158">
        <v>54772</v>
      </c>
      <c r="F172" s="166">
        <v>6.6250000000000003E-2</v>
      </c>
      <c r="G172" s="166">
        <v>6.9199999999999998E-2</v>
      </c>
      <c r="H172" s="166">
        <v>7.2499999999999995E-2</v>
      </c>
      <c r="I172" s="266">
        <v>7.1299799999999997E-2</v>
      </c>
      <c r="J172" s="175">
        <v>7.1499999999999994E-2</v>
      </c>
      <c r="K172" s="269">
        <v>1600500</v>
      </c>
      <c r="L172" s="267">
        <v>1600500</v>
      </c>
      <c r="M172" s="264">
        <f>IF(L172=0,0,K172/L172)</f>
        <v>1</v>
      </c>
    </row>
    <row r="173" spans="1:13" ht="10.5" x14ac:dyDescent="0.25">
      <c r="A173" s="181"/>
      <c r="B173" s="270"/>
      <c r="C173" s="182"/>
      <c r="D173" s="172" t="s">
        <v>142</v>
      </c>
      <c r="E173" s="158">
        <v>51697</v>
      </c>
      <c r="F173" s="166">
        <v>6.8750000000000006E-2</v>
      </c>
      <c r="G173" s="166">
        <v>7.0499999999999993E-2</v>
      </c>
      <c r="H173" s="166">
        <v>7.2499999999999995E-2</v>
      </c>
      <c r="I173" s="268">
        <v>7.1497500000000005E-2</v>
      </c>
      <c r="J173" s="175">
        <v>7.2499999999999995E-2</v>
      </c>
      <c r="K173" s="269">
        <v>543000</v>
      </c>
      <c r="L173" s="265">
        <v>543000</v>
      </c>
      <c r="M173" s="271">
        <f>IF(L173=0,0,K173/L173)</f>
        <v>1</v>
      </c>
    </row>
    <row r="174" spans="1:13" ht="10.5" x14ac:dyDescent="0.25">
      <c r="A174" s="297" t="s">
        <v>121</v>
      </c>
      <c r="B174" s="303"/>
      <c r="C174" s="298"/>
      <c r="D174" s="298"/>
      <c r="E174" s="298"/>
      <c r="F174" s="298"/>
      <c r="G174" s="298"/>
      <c r="H174" s="298"/>
      <c r="I174" s="298"/>
      <c r="J174" s="299"/>
      <c r="K174" s="176">
        <f>SUM(K167:K173)</f>
        <v>7961300</v>
      </c>
      <c r="L174" s="176">
        <f>SUM(L167:L173)</f>
        <v>5925000</v>
      </c>
      <c r="M174" s="272"/>
    </row>
    <row r="175" spans="1:13" ht="10.5" x14ac:dyDescent="0.25">
      <c r="A175" s="300" t="s">
        <v>198</v>
      </c>
      <c r="B175" s="301"/>
      <c r="C175" s="301"/>
      <c r="D175" s="301"/>
      <c r="E175" s="301"/>
      <c r="F175" s="301"/>
      <c r="G175" s="301"/>
      <c r="H175" s="301"/>
      <c r="I175" s="301"/>
      <c r="J175" s="302"/>
      <c r="K175" s="173">
        <f>K158+K166+K174</f>
        <v>45588450</v>
      </c>
      <c r="L175" s="173">
        <f>L158+L166+L174</f>
        <v>32359250</v>
      </c>
      <c r="M175" s="165"/>
    </row>
    <row r="176" spans="1:13" ht="10.5" x14ac:dyDescent="0.25">
      <c r="A176" s="300" t="s">
        <v>199</v>
      </c>
      <c r="B176" s="301"/>
      <c r="C176" s="301"/>
      <c r="D176" s="301"/>
      <c r="E176" s="301"/>
      <c r="F176" s="301"/>
      <c r="G176" s="301"/>
      <c r="H176" s="301"/>
      <c r="I176" s="301"/>
      <c r="J176" s="302"/>
      <c r="K176" s="173">
        <f>K74+K120+K154+K175</f>
        <v>627162452</v>
      </c>
      <c r="L176" s="173">
        <f>L74+L120+L154+L175</f>
        <v>334041852</v>
      </c>
      <c r="M176" s="165"/>
    </row>
    <row r="177" spans="1:13" ht="12" customHeight="1" outlineLevel="1" x14ac:dyDescent="0.2">
      <c r="A177" s="198">
        <v>45412</v>
      </c>
      <c r="B177" s="215">
        <v>45415</v>
      </c>
      <c r="C177" s="199" t="s">
        <v>136</v>
      </c>
      <c r="D177" s="184" t="s">
        <v>200</v>
      </c>
      <c r="E177" s="185">
        <v>45505</v>
      </c>
      <c r="F177" s="186" t="s">
        <v>128</v>
      </c>
      <c r="G177" s="202">
        <v>6.5000000000000002E-2</v>
      </c>
      <c r="H177" s="202">
        <v>7.0000000000000007E-2</v>
      </c>
      <c r="I177" s="194">
        <v>6.5171400000000004E-2</v>
      </c>
      <c r="J177" s="194">
        <v>6.5500000000000003E-2</v>
      </c>
      <c r="K177" s="216">
        <v>3294600</v>
      </c>
      <c r="L177" s="217">
        <v>350000</v>
      </c>
      <c r="M177" s="188">
        <f t="shared" ref="M177:M178" si="26">IF(L177=0,0,K177/L177)</f>
        <v>9.4131428571428568</v>
      </c>
    </row>
    <row r="178" spans="1:13" ht="12" customHeight="1" outlineLevel="1" x14ac:dyDescent="0.2">
      <c r="A178" s="198"/>
      <c r="B178" s="183"/>
      <c r="C178" s="199"/>
      <c r="D178" s="184" t="s">
        <v>201</v>
      </c>
      <c r="E178" s="185">
        <v>45779</v>
      </c>
      <c r="F178" s="186" t="s">
        <v>128</v>
      </c>
      <c r="G178" s="186">
        <v>6.7199999999999996E-2</v>
      </c>
      <c r="H178" s="186">
        <v>7.1499999999999994E-2</v>
      </c>
      <c r="I178" s="202">
        <v>6.7466700000000004E-2</v>
      </c>
      <c r="J178" s="203">
        <v>6.8199999999999997E-2</v>
      </c>
      <c r="K178" s="216">
        <v>4924500</v>
      </c>
      <c r="L178" s="218">
        <v>600000</v>
      </c>
      <c r="M178" s="188">
        <f t="shared" si="26"/>
        <v>8.2074999999999996</v>
      </c>
    </row>
    <row r="179" spans="1:13" ht="12.75" customHeight="1" outlineLevel="1" x14ac:dyDescent="0.2">
      <c r="A179" s="198"/>
      <c r="B179" s="185"/>
      <c r="C179" s="199"/>
      <c r="D179" s="184" t="s">
        <v>141</v>
      </c>
      <c r="E179" s="185">
        <v>47223</v>
      </c>
      <c r="F179" s="186">
        <v>6.8750000000000006E-2</v>
      </c>
      <c r="G179" s="186">
        <v>7.0999999999999994E-2</v>
      </c>
      <c r="H179" s="186">
        <v>7.4999999999999997E-2</v>
      </c>
      <c r="I179" s="187">
        <v>7.1599200000000002E-2</v>
      </c>
      <c r="J179" s="195">
        <v>7.1900000000000006E-2</v>
      </c>
      <c r="K179" s="216">
        <v>14265300</v>
      </c>
      <c r="L179" s="219">
        <v>8450000</v>
      </c>
      <c r="M179" s="188">
        <f>IF(L179=0,0,K179/L179)</f>
        <v>1.6882011834319526</v>
      </c>
    </row>
    <row r="180" spans="1:13" ht="12.75" customHeight="1" outlineLevel="1" x14ac:dyDescent="0.25">
      <c r="A180" s="191"/>
      <c r="B180" s="189"/>
      <c r="C180" s="192"/>
      <c r="D180" s="184" t="s">
        <v>140</v>
      </c>
      <c r="E180" s="185">
        <v>48990</v>
      </c>
      <c r="F180" s="186">
        <v>6.6250000000000003E-2</v>
      </c>
      <c r="G180" s="186">
        <v>7.1900000000000006E-2</v>
      </c>
      <c r="H180" s="186">
        <v>7.6499999999999999E-2</v>
      </c>
      <c r="I180" s="196">
        <v>7.2397400000000001E-2</v>
      </c>
      <c r="J180" s="197">
        <v>7.2800000000000004E-2</v>
      </c>
      <c r="K180" s="216">
        <v>14234200</v>
      </c>
      <c r="L180" s="218">
        <v>8050000</v>
      </c>
      <c r="M180" s="188">
        <f>IF(L180=0,0,K180/L180)</f>
        <v>1.768223602484472</v>
      </c>
    </row>
    <row r="181" spans="1:13" ht="12.75" customHeight="1" outlineLevel="1" x14ac:dyDescent="0.25">
      <c r="A181" s="191"/>
      <c r="B181" s="189"/>
      <c r="C181" s="192"/>
      <c r="D181" s="184" t="s">
        <v>138</v>
      </c>
      <c r="E181" s="185">
        <v>50571</v>
      </c>
      <c r="F181" s="186">
        <v>7.1249999999999994E-2</v>
      </c>
      <c r="G181" s="186">
        <v>7.17E-2</v>
      </c>
      <c r="H181" s="186">
        <v>7.6999999999999999E-2</v>
      </c>
      <c r="I181" s="187">
        <v>7.2397100000000006E-2</v>
      </c>
      <c r="J181" s="195">
        <v>7.2599999999999998E-2</v>
      </c>
      <c r="K181" s="216">
        <v>4140000</v>
      </c>
      <c r="L181" s="219">
        <v>2000000</v>
      </c>
      <c r="M181" s="188">
        <f>IF(L181=0,0,K181/L181)</f>
        <v>2.0699999999999998</v>
      </c>
    </row>
    <row r="182" spans="1:13" ht="12.75" customHeight="1" outlineLevel="1" x14ac:dyDescent="0.25">
      <c r="A182" s="191"/>
      <c r="B182" s="189"/>
      <c r="C182" s="192"/>
      <c r="D182" s="184" t="s">
        <v>137</v>
      </c>
      <c r="E182" s="185">
        <v>52397</v>
      </c>
      <c r="F182" s="186">
        <v>7.1249999999999994E-2</v>
      </c>
      <c r="G182" s="186">
        <v>7.1400000000000005E-2</v>
      </c>
      <c r="H182" s="186">
        <v>0.08</v>
      </c>
      <c r="I182" s="187">
        <v>7.1599599999999999E-2</v>
      </c>
      <c r="J182" s="196">
        <v>7.1599999999999997E-2</v>
      </c>
      <c r="K182" s="220">
        <v>6534200</v>
      </c>
      <c r="L182" s="219">
        <v>2050000</v>
      </c>
      <c r="M182" s="188">
        <f>IF(L182=0,0,K182/L182)</f>
        <v>3.1874146341463416</v>
      </c>
    </row>
    <row r="183" spans="1:13" ht="12.75" customHeight="1" outlineLevel="1" x14ac:dyDescent="0.25">
      <c r="A183" s="191"/>
      <c r="B183" s="200"/>
      <c r="C183" s="192"/>
      <c r="D183" s="184" t="s">
        <v>146</v>
      </c>
      <c r="E183" s="185">
        <v>56445</v>
      </c>
      <c r="F183" s="186">
        <v>6.8750000000000006E-2</v>
      </c>
      <c r="G183" s="186">
        <v>7.1300000000000002E-2</v>
      </c>
      <c r="H183" s="186">
        <v>7.6499999999999999E-2</v>
      </c>
      <c r="I183" s="197" t="s">
        <v>130</v>
      </c>
      <c r="J183" s="196" t="s">
        <v>130</v>
      </c>
      <c r="K183" s="220">
        <v>2806800</v>
      </c>
      <c r="L183" s="218">
        <v>0</v>
      </c>
      <c r="M183" s="201">
        <f>IF(L183=0,0,K183/L183)</f>
        <v>0</v>
      </c>
    </row>
    <row r="184" spans="1:13" s="1" customFormat="1" ht="12.75" customHeight="1" outlineLevel="1" x14ac:dyDescent="0.25">
      <c r="A184" s="293" t="s">
        <v>121</v>
      </c>
      <c r="B184" s="294"/>
      <c r="C184" s="295"/>
      <c r="D184" s="295"/>
      <c r="E184" s="295"/>
      <c r="F184" s="295"/>
      <c r="G184" s="295"/>
      <c r="H184" s="295"/>
      <c r="I184" s="295"/>
      <c r="J184" s="296"/>
      <c r="K184" s="190">
        <f>SUM(K177:K183)</f>
        <v>50199600</v>
      </c>
      <c r="L184" s="190">
        <f>SUM(L177:L183)</f>
        <v>21500000</v>
      </c>
      <c r="M184" s="193"/>
    </row>
    <row r="185" spans="1:13" s="1" customFormat="1" ht="12.75" customHeight="1" outlineLevel="1" x14ac:dyDescent="0.25">
      <c r="A185" s="164">
        <v>45418</v>
      </c>
      <c r="B185" s="164">
        <v>45421</v>
      </c>
      <c r="C185" s="160" t="s">
        <v>136</v>
      </c>
      <c r="D185" s="172" t="s">
        <v>181</v>
      </c>
      <c r="E185" s="158">
        <v>45614</v>
      </c>
      <c r="F185" s="166" t="s">
        <v>128</v>
      </c>
      <c r="G185" s="258">
        <v>6.5000000000000002E-2</v>
      </c>
      <c r="H185" s="166">
        <v>6.6000000000000003E-2</v>
      </c>
      <c r="I185" s="166">
        <v>6.5500000000000003E-2</v>
      </c>
      <c r="J185" s="166">
        <v>6.6000000000000003E-2</v>
      </c>
      <c r="K185" s="256">
        <v>2100000</v>
      </c>
      <c r="L185" s="257">
        <v>400000</v>
      </c>
      <c r="M185" s="170">
        <f>IF(L185=0,0,K185/L185)</f>
        <v>5.25</v>
      </c>
    </row>
    <row r="186" spans="1:13" s="1" customFormat="1" ht="12.75" customHeight="1" outlineLevel="1" x14ac:dyDescent="0.25">
      <c r="A186" s="164"/>
      <c r="B186" s="164"/>
      <c r="C186" s="160"/>
      <c r="D186" s="172" t="s">
        <v>203</v>
      </c>
      <c r="E186" s="158">
        <v>45690</v>
      </c>
      <c r="F186" s="166" t="s">
        <v>128</v>
      </c>
      <c r="G186" s="166">
        <v>6.6000000000000003E-2</v>
      </c>
      <c r="H186" s="166">
        <v>6.8000000000000005E-2</v>
      </c>
      <c r="I186" s="178">
        <v>6.7484000000000002E-2</v>
      </c>
      <c r="J186" s="180">
        <v>6.8000000000000005E-2</v>
      </c>
      <c r="K186" s="256">
        <v>4156400</v>
      </c>
      <c r="L186" s="257">
        <v>2625600</v>
      </c>
      <c r="M186" s="170">
        <f t="shared" ref="M186:M191" si="27">IF(L186=0,0,K186/L186)</f>
        <v>1.5830286410725167</v>
      </c>
    </row>
    <row r="187" spans="1:13" s="1" customFormat="1" ht="12.75" customHeight="1" outlineLevel="1" x14ac:dyDescent="0.25">
      <c r="A187" s="164"/>
      <c r="B187" s="158"/>
      <c r="C187" s="160"/>
      <c r="D187" s="172" t="s">
        <v>150</v>
      </c>
      <c r="E187" s="158">
        <v>46218</v>
      </c>
      <c r="F187" s="166">
        <v>4.8750000000000002E-2</v>
      </c>
      <c r="G187" s="166">
        <v>6.8000000000000005E-2</v>
      </c>
      <c r="H187" s="166">
        <v>7.1499999999999994E-2</v>
      </c>
      <c r="I187" s="175">
        <v>6.8673100000000001E-2</v>
      </c>
      <c r="J187" s="180">
        <v>6.9199999999999998E-2</v>
      </c>
      <c r="K187" s="256">
        <v>2698000</v>
      </c>
      <c r="L187" s="256">
        <v>600000</v>
      </c>
      <c r="M187" s="170">
        <f t="shared" si="27"/>
        <v>4.496666666666667</v>
      </c>
    </row>
    <row r="188" spans="1:13" s="1" customFormat="1" ht="11.5" customHeight="1" outlineLevel="1" x14ac:dyDescent="0.25">
      <c r="A188" s="156"/>
      <c r="B188" s="156"/>
      <c r="C188" s="156"/>
      <c r="D188" s="2" t="s">
        <v>151</v>
      </c>
      <c r="E188" s="158">
        <v>46949</v>
      </c>
      <c r="F188" s="177">
        <v>5.8749999999999997E-2</v>
      </c>
      <c r="G188" s="166">
        <v>6.7299999999999999E-2</v>
      </c>
      <c r="H188" s="166">
        <v>6.9800000000000001E-2</v>
      </c>
      <c r="I188" s="175">
        <v>0</v>
      </c>
      <c r="J188" s="166">
        <v>0</v>
      </c>
      <c r="K188" s="256">
        <v>294000</v>
      </c>
      <c r="L188" s="256">
        <v>0</v>
      </c>
      <c r="M188" s="170">
        <f t="shared" si="27"/>
        <v>0</v>
      </c>
    </row>
    <row r="189" spans="1:13" s="1" customFormat="1" ht="12.75" customHeight="1" outlineLevel="1" x14ac:dyDescent="0.25">
      <c r="A189" s="156"/>
      <c r="B189" s="156"/>
      <c r="C189" s="156"/>
      <c r="D189" s="172" t="s">
        <v>139</v>
      </c>
      <c r="E189" s="158">
        <v>47376</v>
      </c>
      <c r="F189" s="166">
        <v>6.6250000000000003E-2</v>
      </c>
      <c r="G189" s="166">
        <v>6.6900000000000001E-2</v>
      </c>
      <c r="H189" s="166">
        <v>7.0999999999999994E-2</v>
      </c>
      <c r="I189" s="175">
        <v>6.6900000000000001E-2</v>
      </c>
      <c r="J189" s="175">
        <v>6.6900000000000001E-2</v>
      </c>
      <c r="K189" s="256">
        <v>2525000</v>
      </c>
      <c r="L189" s="256">
        <v>200000</v>
      </c>
      <c r="M189" s="170">
        <f t="shared" si="27"/>
        <v>12.625</v>
      </c>
    </row>
    <row r="190" spans="1:13" s="1" customFormat="1" ht="12.75" customHeight="1" outlineLevel="1" x14ac:dyDescent="0.25">
      <c r="A190" s="156"/>
      <c r="B190" s="156"/>
      <c r="C190" s="156"/>
      <c r="D190" s="172" t="s">
        <v>53</v>
      </c>
      <c r="E190" s="158">
        <v>50086</v>
      </c>
      <c r="F190" s="166">
        <v>6.0999999999999999E-2</v>
      </c>
      <c r="G190" s="166">
        <v>6.9000000000000006E-2</v>
      </c>
      <c r="H190" s="166">
        <v>7.1999999999999995E-2</v>
      </c>
      <c r="I190" s="175">
        <v>0</v>
      </c>
      <c r="J190" s="175">
        <v>0</v>
      </c>
      <c r="K190" s="256">
        <v>652000</v>
      </c>
      <c r="L190" s="256">
        <v>0</v>
      </c>
      <c r="M190" s="170">
        <f t="shared" si="27"/>
        <v>0</v>
      </c>
    </row>
    <row r="191" spans="1:13" s="1" customFormat="1" ht="12.75" customHeight="1" outlineLevel="1" x14ac:dyDescent="0.25">
      <c r="A191" s="181"/>
      <c r="B191" s="156"/>
      <c r="C191" s="182"/>
      <c r="D191" s="172" t="s">
        <v>142</v>
      </c>
      <c r="E191" s="158">
        <v>54772</v>
      </c>
      <c r="F191" s="166">
        <v>6.8750000000000006E-2</v>
      </c>
      <c r="G191" s="166">
        <v>7.0699999999999999E-2</v>
      </c>
      <c r="H191" s="166">
        <v>7.2900000000000006E-2</v>
      </c>
      <c r="I191" s="175">
        <v>7.1287299999999998E-2</v>
      </c>
      <c r="J191" s="175">
        <v>7.22E-2</v>
      </c>
      <c r="K191" s="256">
        <v>3570000</v>
      </c>
      <c r="L191" s="256">
        <v>3200000</v>
      </c>
      <c r="M191" s="170">
        <f t="shared" si="27"/>
        <v>1.1156250000000001</v>
      </c>
    </row>
    <row r="192" spans="1:13" s="1" customFormat="1" ht="12.75" customHeight="1" outlineLevel="1" x14ac:dyDescent="0.25">
      <c r="A192" s="297" t="s">
        <v>121</v>
      </c>
      <c r="B192" s="298"/>
      <c r="C192" s="298"/>
      <c r="D192" s="298"/>
      <c r="E192" s="298"/>
      <c r="F192" s="298"/>
      <c r="G192" s="298"/>
      <c r="H192" s="298"/>
      <c r="I192" s="298"/>
      <c r="J192" s="299"/>
      <c r="K192" s="255">
        <f>SUM(K185:K191)</f>
        <v>15995400</v>
      </c>
      <c r="L192" s="255">
        <f>SUM(L185:L191)</f>
        <v>7025600</v>
      </c>
      <c r="M192" s="165"/>
    </row>
    <row r="193" spans="1:13" ht="12" customHeight="1" outlineLevel="1" x14ac:dyDescent="0.2">
      <c r="A193" s="198">
        <v>45426</v>
      </c>
      <c r="B193" s="215">
        <v>45428</v>
      </c>
      <c r="C193" s="199" t="s">
        <v>136</v>
      </c>
      <c r="D193" s="184" t="s">
        <v>204</v>
      </c>
      <c r="E193" s="185">
        <v>45518</v>
      </c>
      <c r="F193" s="186" t="s">
        <v>128</v>
      </c>
      <c r="G193" s="202">
        <v>6.6000000000000003E-2</v>
      </c>
      <c r="H193" s="202">
        <v>6.6000000000000003E-2</v>
      </c>
      <c r="I193" s="194">
        <v>6.6000000000000003E-2</v>
      </c>
      <c r="J193" s="194">
        <v>6.6000000000000003E-2</v>
      </c>
      <c r="K193" s="216">
        <v>2307000</v>
      </c>
      <c r="L193" s="216">
        <v>14000</v>
      </c>
      <c r="M193" s="188">
        <f t="shared" ref="M193:M194" si="28">IF(L193=0,0,K193/L193)</f>
        <v>164.78571428571428</v>
      </c>
    </row>
    <row r="194" spans="1:13" ht="12" customHeight="1" outlineLevel="1" x14ac:dyDescent="0.2">
      <c r="A194" s="198"/>
      <c r="B194" s="183"/>
      <c r="C194" s="199"/>
      <c r="D194" s="184" t="s">
        <v>201</v>
      </c>
      <c r="E194" s="185">
        <v>45779</v>
      </c>
      <c r="F194" s="186" t="s">
        <v>128</v>
      </c>
      <c r="G194" s="186">
        <v>6.7599999999999993E-2</v>
      </c>
      <c r="H194" s="186">
        <v>6.9599999999999995E-2</v>
      </c>
      <c r="I194" s="202">
        <v>6.8280099999999996E-2</v>
      </c>
      <c r="J194" s="203">
        <v>6.8900000000000003E-2</v>
      </c>
      <c r="K194" s="216">
        <v>5103000</v>
      </c>
      <c r="L194" s="216">
        <v>2000000</v>
      </c>
      <c r="M194" s="188">
        <f t="shared" si="28"/>
        <v>2.5514999999999999</v>
      </c>
    </row>
    <row r="195" spans="1:13" ht="12.75" customHeight="1" outlineLevel="1" x14ac:dyDescent="0.2">
      <c r="A195" s="198"/>
      <c r="B195" s="185"/>
      <c r="C195" s="199"/>
      <c r="D195" s="184" t="s">
        <v>141</v>
      </c>
      <c r="E195" s="185">
        <v>47223</v>
      </c>
      <c r="F195" s="186">
        <v>6.8750000000000006E-2</v>
      </c>
      <c r="G195" s="186">
        <v>6.9400000000000003E-2</v>
      </c>
      <c r="H195" s="186">
        <v>7.1999999999999995E-2</v>
      </c>
      <c r="I195" s="187">
        <v>6.9999400000000003E-2</v>
      </c>
      <c r="J195" s="195">
        <v>7.0300000000000001E-2</v>
      </c>
      <c r="K195" s="216">
        <v>12441000</v>
      </c>
      <c r="L195" s="216">
        <v>8600000</v>
      </c>
      <c r="M195" s="188">
        <f>IF(L195=0,0,K195/L195)</f>
        <v>1.4466279069767443</v>
      </c>
    </row>
    <row r="196" spans="1:13" ht="12.75" customHeight="1" outlineLevel="1" x14ac:dyDescent="0.25">
      <c r="A196" s="191"/>
      <c r="B196" s="189"/>
      <c r="C196" s="192"/>
      <c r="D196" s="184" t="s">
        <v>140</v>
      </c>
      <c r="E196" s="185">
        <v>48990</v>
      </c>
      <c r="F196" s="186">
        <v>6.6250000000000003E-2</v>
      </c>
      <c r="G196" s="186">
        <v>6.9900000000000004E-2</v>
      </c>
      <c r="H196" s="186">
        <v>7.2499999999999995E-2</v>
      </c>
      <c r="I196" s="196">
        <v>7.0298700000000006E-2</v>
      </c>
      <c r="J196" s="197">
        <v>7.0499999999999993E-2</v>
      </c>
      <c r="K196" s="216">
        <v>17433700</v>
      </c>
      <c r="L196" s="216">
        <v>6050000</v>
      </c>
      <c r="M196" s="188">
        <f>IF(L196=0,0,K196/L196)</f>
        <v>2.881603305785124</v>
      </c>
    </row>
    <row r="197" spans="1:13" ht="12.75" customHeight="1" outlineLevel="1" x14ac:dyDescent="0.25">
      <c r="A197" s="191"/>
      <c r="B197" s="189"/>
      <c r="C197" s="192"/>
      <c r="D197" s="184" t="s">
        <v>138</v>
      </c>
      <c r="E197" s="185">
        <v>50571</v>
      </c>
      <c r="F197" s="186">
        <v>7.1249999999999994E-2</v>
      </c>
      <c r="G197" s="186">
        <v>6.9699999999999998E-2</v>
      </c>
      <c r="H197" s="186">
        <v>7.2499999999999995E-2</v>
      </c>
      <c r="I197" s="187">
        <v>7.0196499999999995E-2</v>
      </c>
      <c r="J197" s="197">
        <v>7.0499999999999993E-2</v>
      </c>
      <c r="K197" s="216">
        <v>4880500</v>
      </c>
      <c r="L197" s="216">
        <v>2100000</v>
      </c>
      <c r="M197" s="188">
        <f>IF(L197=0,0,K197/L197)</f>
        <v>2.3240476190476191</v>
      </c>
    </row>
    <row r="198" spans="1:13" ht="12.75" customHeight="1" outlineLevel="1" x14ac:dyDescent="0.25">
      <c r="A198" s="191"/>
      <c r="B198" s="189"/>
      <c r="C198" s="192"/>
      <c r="D198" s="184" t="s">
        <v>137</v>
      </c>
      <c r="E198" s="185">
        <v>52397</v>
      </c>
      <c r="F198" s="186">
        <v>7.1249999999999994E-2</v>
      </c>
      <c r="G198" s="186">
        <v>6.9800000000000001E-2</v>
      </c>
      <c r="H198" s="186">
        <v>7.1999999999999995E-2</v>
      </c>
      <c r="I198" s="187">
        <v>7.0575299999999994E-2</v>
      </c>
      <c r="J198" s="195">
        <v>7.0900000000000005E-2</v>
      </c>
      <c r="K198" s="220">
        <v>3491900</v>
      </c>
      <c r="L198" s="220">
        <v>2000000</v>
      </c>
      <c r="M198" s="188">
        <f>IF(L198=0,0,K198/L198)</f>
        <v>1.7459499999999999</v>
      </c>
    </row>
    <row r="199" spans="1:13" ht="12.75" customHeight="1" outlineLevel="1" x14ac:dyDescent="0.25">
      <c r="A199" s="191"/>
      <c r="B199" s="200"/>
      <c r="C199" s="192"/>
      <c r="D199" s="184" t="s">
        <v>146</v>
      </c>
      <c r="E199" s="185">
        <v>56445</v>
      </c>
      <c r="F199" s="186">
        <v>6.8750000000000006E-2</v>
      </c>
      <c r="G199" s="186">
        <v>6.9699999999999998E-2</v>
      </c>
      <c r="H199" s="186">
        <v>7.1999999999999995E-2</v>
      </c>
      <c r="I199" s="197">
        <v>7.0296499999999998E-2</v>
      </c>
      <c r="J199" s="196">
        <v>7.0499999999999993E-2</v>
      </c>
      <c r="K199" s="220">
        <v>3764300</v>
      </c>
      <c r="L199" s="220">
        <v>600000</v>
      </c>
      <c r="M199" s="201">
        <f>IF(L199=0,0,K199/L199)</f>
        <v>6.2738333333333332</v>
      </c>
    </row>
    <row r="200" spans="1:13" s="1" customFormat="1" ht="12.75" customHeight="1" outlineLevel="1" x14ac:dyDescent="0.25">
      <c r="A200" s="293" t="s">
        <v>121</v>
      </c>
      <c r="B200" s="294"/>
      <c r="C200" s="295"/>
      <c r="D200" s="295"/>
      <c r="E200" s="295"/>
      <c r="F200" s="295"/>
      <c r="G200" s="295"/>
      <c r="H200" s="295"/>
      <c r="I200" s="295"/>
      <c r="J200" s="296"/>
      <c r="K200" s="190">
        <f>SUM(K193:K199)</f>
        <v>49421400</v>
      </c>
      <c r="L200" s="190">
        <f>SUM(L193:L199)</f>
        <v>21364000</v>
      </c>
      <c r="M200" s="193"/>
    </row>
    <row r="201" spans="1:13" ht="12.75" customHeight="1" outlineLevel="1" x14ac:dyDescent="0.2">
      <c r="A201" s="274">
        <v>45429</v>
      </c>
      <c r="B201" s="274">
        <v>45439</v>
      </c>
      <c r="C201" s="275" t="s">
        <v>155</v>
      </c>
      <c r="D201" s="276" t="s">
        <v>212</v>
      </c>
      <c r="E201" s="274">
        <v>46168</v>
      </c>
      <c r="F201" s="277">
        <v>9.9000000000000008E-3</v>
      </c>
      <c r="G201" s="277"/>
      <c r="H201" s="277"/>
      <c r="I201" s="277">
        <v>9.9000000000000008E-3</v>
      </c>
      <c r="J201" s="278"/>
      <c r="K201" s="279" t="s">
        <v>219</v>
      </c>
      <c r="L201" s="280" t="str">
        <f t="shared" ref="L201:L214" si="29">K201</f>
        <v>JPY50.000.000.000</v>
      </c>
      <c r="M201" s="281"/>
    </row>
    <row r="202" spans="1:13" ht="12.75" customHeight="1" outlineLevel="1" x14ac:dyDescent="0.25">
      <c r="A202" s="282"/>
      <c r="B202" s="282"/>
      <c r="C202" s="275"/>
      <c r="D202" s="276"/>
      <c r="E202" s="274"/>
      <c r="F202" s="277"/>
      <c r="G202" s="277"/>
      <c r="H202" s="277"/>
      <c r="I202" s="277"/>
      <c r="J202" s="278"/>
      <c r="K202" s="279">
        <f>50000000000*102.2666/1000000</f>
        <v>5113330</v>
      </c>
      <c r="L202" s="280">
        <f t="shared" si="29"/>
        <v>5113330</v>
      </c>
      <c r="M202" s="283">
        <f t="shared" ref="M202" si="30">IF(L202=0,0,K202/L202)</f>
        <v>1</v>
      </c>
    </row>
    <row r="203" spans="1:13" ht="12.75" customHeight="1" outlineLevel="1" x14ac:dyDescent="0.25">
      <c r="A203" s="282"/>
      <c r="B203" s="274">
        <v>45439</v>
      </c>
      <c r="C203" s="275"/>
      <c r="D203" s="276" t="s">
        <v>213</v>
      </c>
      <c r="E203" s="274">
        <v>46899</v>
      </c>
      <c r="F203" s="277">
        <v>1.3299999999999999E-2</v>
      </c>
      <c r="G203" s="277"/>
      <c r="H203" s="277"/>
      <c r="I203" s="277">
        <v>1.3299999999999999E-2</v>
      </c>
      <c r="J203" s="278"/>
      <c r="K203" s="279" t="s">
        <v>220</v>
      </c>
      <c r="L203" s="280" t="str">
        <f t="shared" si="29"/>
        <v>JPY88.000.000.000</v>
      </c>
      <c r="M203" s="284"/>
    </row>
    <row r="204" spans="1:13" ht="12.75" customHeight="1" outlineLevel="1" x14ac:dyDescent="0.25">
      <c r="A204" s="282"/>
      <c r="B204" s="282"/>
      <c r="C204" s="275"/>
      <c r="D204" s="276"/>
      <c r="E204" s="274"/>
      <c r="F204" s="277"/>
      <c r="G204" s="277"/>
      <c r="H204" s="277"/>
      <c r="I204" s="277"/>
      <c r="J204" s="278"/>
      <c r="K204" s="279">
        <f>88000000000*102.2666/1000000</f>
        <v>8999460.8000000007</v>
      </c>
      <c r="L204" s="280">
        <f t="shared" si="29"/>
        <v>8999460.8000000007</v>
      </c>
      <c r="M204" s="283">
        <f t="shared" ref="M204" si="31">IF(L204=0,0,K204/L204)</f>
        <v>1</v>
      </c>
    </row>
    <row r="205" spans="1:13" ht="12.75" customHeight="1" outlineLevel="1" x14ac:dyDescent="0.25">
      <c r="A205" s="282"/>
      <c r="B205" s="274">
        <v>45439</v>
      </c>
      <c r="C205" s="275"/>
      <c r="D205" s="276" t="s">
        <v>214</v>
      </c>
      <c r="E205" s="274">
        <v>47627</v>
      </c>
      <c r="F205" s="277">
        <v>1.5699999999999999E-2</v>
      </c>
      <c r="G205" s="277"/>
      <c r="H205" s="277"/>
      <c r="I205" s="277">
        <v>1.5699999999999999E-2</v>
      </c>
      <c r="J205" s="278"/>
      <c r="K205" s="279" t="s">
        <v>221</v>
      </c>
      <c r="L205" s="280" t="str">
        <f t="shared" si="29"/>
        <v>JPY17.700.000.000</v>
      </c>
      <c r="M205" s="284"/>
    </row>
    <row r="206" spans="1:13" ht="12.75" customHeight="1" outlineLevel="1" x14ac:dyDescent="0.25">
      <c r="A206" s="282"/>
      <c r="B206" s="282"/>
      <c r="C206" s="275"/>
      <c r="D206" s="276"/>
      <c r="E206" s="274"/>
      <c r="F206" s="277"/>
      <c r="G206" s="277"/>
      <c r="H206" s="277"/>
      <c r="I206" s="277"/>
      <c r="J206" s="278"/>
      <c r="K206" s="279">
        <f>17700000000*102.2666/1000000</f>
        <v>1810118.82</v>
      </c>
      <c r="L206" s="280">
        <f t="shared" si="29"/>
        <v>1810118.82</v>
      </c>
      <c r="M206" s="283">
        <f t="shared" ref="M206" si="32">IF(L206=0,0,K206/L206)</f>
        <v>1</v>
      </c>
    </row>
    <row r="207" spans="1:13" ht="12.75" customHeight="1" outlineLevel="1" x14ac:dyDescent="0.25">
      <c r="A207" s="282"/>
      <c r="B207" s="274">
        <v>45439</v>
      </c>
      <c r="C207" s="275"/>
      <c r="D207" s="276" t="s">
        <v>215</v>
      </c>
      <c r="E207" s="274">
        <v>48725</v>
      </c>
      <c r="F207" s="277">
        <v>1.9099999999999999E-2</v>
      </c>
      <c r="G207" s="277"/>
      <c r="H207" s="277"/>
      <c r="I207" s="277">
        <v>1.9099999999999999E-2</v>
      </c>
      <c r="J207" s="278"/>
      <c r="K207" s="279" t="s">
        <v>222</v>
      </c>
      <c r="L207" s="280" t="str">
        <f t="shared" si="29"/>
        <v>JPY2.000.000.000</v>
      </c>
      <c r="M207" s="284"/>
    </row>
    <row r="208" spans="1:13" ht="12.75" customHeight="1" outlineLevel="1" x14ac:dyDescent="0.25">
      <c r="A208" s="282"/>
      <c r="B208" s="282"/>
      <c r="C208" s="275"/>
      <c r="D208" s="276"/>
      <c r="E208" s="274"/>
      <c r="F208" s="277"/>
      <c r="G208" s="277"/>
      <c r="H208" s="277"/>
      <c r="I208" s="277"/>
      <c r="J208" s="278"/>
      <c r="K208" s="279">
        <f>2000000000*102.2666/1000000</f>
        <v>204533.2</v>
      </c>
      <c r="L208" s="280">
        <f t="shared" si="29"/>
        <v>204533.2</v>
      </c>
      <c r="M208" s="283">
        <f t="shared" ref="M208" si="33">IF(L208=0,0,K208/L208)</f>
        <v>1</v>
      </c>
    </row>
    <row r="209" spans="1:13" ht="12.75" customHeight="1" outlineLevel="1" x14ac:dyDescent="0.25">
      <c r="A209" s="282"/>
      <c r="B209" s="274">
        <v>45439</v>
      </c>
      <c r="C209" s="275"/>
      <c r="D209" s="276" t="s">
        <v>216</v>
      </c>
      <c r="E209" s="274">
        <v>46899</v>
      </c>
      <c r="F209" s="277">
        <v>1.5699999999999999E-2</v>
      </c>
      <c r="G209" s="277"/>
      <c r="H209" s="277"/>
      <c r="I209" s="277">
        <v>1.5699999999999999E-2</v>
      </c>
      <c r="J209" s="278"/>
      <c r="K209" s="279" t="s">
        <v>223</v>
      </c>
      <c r="L209" s="280" t="str">
        <f t="shared" si="29"/>
        <v>JPY19.300.000.000</v>
      </c>
      <c r="M209" s="284"/>
    </row>
    <row r="210" spans="1:13" ht="12.75" customHeight="1" outlineLevel="1" x14ac:dyDescent="0.25">
      <c r="A210" s="282"/>
      <c r="B210" s="282"/>
      <c r="C210" s="275"/>
      <c r="D210" s="276"/>
      <c r="E210" s="274"/>
      <c r="F210" s="277"/>
      <c r="G210" s="277"/>
      <c r="H210" s="277"/>
      <c r="I210" s="277"/>
      <c r="J210" s="278"/>
      <c r="K210" s="279">
        <f>19300000000*102.2666/1000000</f>
        <v>1973745.38</v>
      </c>
      <c r="L210" s="280">
        <f t="shared" si="29"/>
        <v>1973745.38</v>
      </c>
      <c r="M210" s="283">
        <f t="shared" ref="M210" si="34">IF(L210=0,0,K210/L210)</f>
        <v>1</v>
      </c>
    </row>
    <row r="211" spans="1:13" ht="12.75" customHeight="1" outlineLevel="1" x14ac:dyDescent="0.25">
      <c r="A211" s="282"/>
      <c r="B211" s="274">
        <v>45439</v>
      </c>
      <c r="C211" s="275"/>
      <c r="D211" s="276" t="s">
        <v>217</v>
      </c>
      <c r="E211" s="274">
        <v>47627</v>
      </c>
      <c r="F211" s="277">
        <v>1.9099999999999999E-2</v>
      </c>
      <c r="G211" s="277"/>
      <c r="H211" s="277"/>
      <c r="I211" s="277">
        <v>1.9099999999999999E-2</v>
      </c>
      <c r="J211" s="278"/>
      <c r="K211" s="279" t="s">
        <v>224</v>
      </c>
      <c r="L211" s="280" t="str">
        <f t="shared" si="29"/>
        <v>JPY6.800.000.000</v>
      </c>
      <c r="M211" s="284"/>
    </row>
    <row r="212" spans="1:13" ht="12.75" customHeight="1" outlineLevel="1" x14ac:dyDescent="0.25">
      <c r="A212" s="282"/>
      <c r="B212" s="282"/>
      <c r="C212" s="275"/>
      <c r="D212" s="276"/>
      <c r="E212" s="274"/>
      <c r="F212" s="277"/>
      <c r="G212" s="277"/>
      <c r="H212" s="277"/>
      <c r="I212" s="277"/>
      <c r="J212" s="278"/>
      <c r="K212" s="279">
        <f>6800000000*102.2666/1000000</f>
        <v>695412.88</v>
      </c>
      <c r="L212" s="280">
        <f t="shared" si="29"/>
        <v>695412.88</v>
      </c>
      <c r="M212" s="283">
        <f t="shared" ref="M212" si="35">IF(L212=0,0,K212/L212)</f>
        <v>1</v>
      </c>
    </row>
    <row r="213" spans="1:13" ht="12.75" customHeight="1" outlineLevel="1" x14ac:dyDescent="0.25">
      <c r="A213" s="282"/>
      <c r="B213" s="274">
        <v>45439</v>
      </c>
      <c r="C213" s="275"/>
      <c r="D213" s="276" t="s">
        <v>218</v>
      </c>
      <c r="E213" s="274">
        <v>46899</v>
      </c>
      <c r="F213" s="277">
        <v>2.5499999999999998E-2</v>
      </c>
      <c r="G213" s="277"/>
      <c r="H213" s="277"/>
      <c r="I213" s="277">
        <v>2.5499999999999998E-2</v>
      </c>
      <c r="J213" s="278"/>
      <c r="K213" s="279" t="s">
        <v>225</v>
      </c>
      <c r="L213" s="280" t="str">
        <f t="shared" si="29"/>
        <v>JPY16.200.000.000</v>
      </c>
      <c r="M213" s="284"/>
    </row>
    <row r="214" spans="1:13" ht="12.75" customHeight="1" outlineLevel="1" x14ac:dyDescent="0.25">
      <c r="A214" s="282"/>
      <c r="B214" s="282"/>
      <c r="C214" s="275"/>
      <c r="D214" s="276"/>
      <c r="E214" s="274"/>
      <c r="F214" s="277"/>
      <c r="G214" s="277"/>
      <c r="H214" s="277"/>
      <c r="I214" s="277"/>
      <c r="J214" s="278"/>
      <c r="K214" s="279">
        <f>16200000000*102.2666/1000000</f>
        <v>1656718.92</v>
      </c>
      <c r="L214" s="280">
        <f t="shared" si="29"/>
        <v>1656718.92</v>
      </c>
      <c r="M214" s="283">
        <f t="shared" ref="M214" si="36">IF(L214=0,0,K214/L214)</f>
        <v>1</v>
      </c>
    </row>
    <row r="215" spans="1:13" s="1" customFormat="1" ht="12.75" customHeight="1" outlineLevel="1" x14ac:dyDescent="0.25">
      <c r="A215" s="318" t="s">
        <v>121</v>
      </c>
      <c r="B215" s="319"/>
      <c r="C215" s="320"/>
      <c r="D215" s="320"/>
      <c r="E215" s="320"/>
      <c r="F215" s="320"/>
      <c r="G215" s="320"/>
      <c r="H215" s="320"/>
      <c r="I215" s="320"/>
      <c r="J215" s="321"/>
      <c r="K215" s="285">
        <f>SUM(K202,K204,K206,K208,K210,K212,K214)</f>
        <v>20453320</v>
      </c>
      <c r="L215" s="285">
        <f>SUM(L202,L204,L206,L208,L210,L212,L214)</f>
        <v>20453320</v>
      </c>
      <c r="M215" s="286"/>
    </row>
    <row r="216" spans="1:13" s="1" customFormat="1" ht="12.75" customHeight="1" outlineLevel="1" x14ac:dyDescent="0.25">
      <c r="A216" s="164">
        <v>45432</v>
      </c>
      <c r="B216" s="164">
        <v>45404</v>
      </c>
      <c r="C216" s="160" t="s">
        <v>136</v>
      </c>
      <c r="D216" s="172" t="s">
        <v>181</v>
      </c>
      <c r="E216" s="158">
        <v>45614</v>
      </c>
      <c r="F216" s="166" t="s">
        <v>128</v>
      </c>
      <c r="G216" s="258">
        <v>6.5000000000000002E-2</v>
      </c>
      <c r="H216" s="166">
        <v>6.6000000000000003E-2</v>
      </c>
      <c r="I216" s="166">
        <v>6.5299999999999997E-2</v>
      </c>
      <c r="J216" s="166">
        <v>6.5500000000000003E-2</v>
      </c>
      <c r="K216" s="256">
        <v>2097500</v>
      </c>
      <c r="L216" s="257">
        <v>250000</v>
      </c>
      <c r="M216" s="170">
        <f>IF(L216=0,0,K216/L216)</f>
        <v>8.39</v>
      </c>
    </row>
    <row r="217" spans="1:13" s="1" customFormat="1" ht="12.75" customHeight="1" outlineLevel="1" x14ac:dyDescent="0.25">
      <c r="A217" s="164"/>
      <c r="B217" s="164"/>
      <c r="C217" s="160"/>
      <c r="D217" s="172" t="s">
        <v>203</v>
      </c>
      <c r="E217" s="158">
        <v>45690</v>
      </c>
      <c r="F217" s="166" t="s">
        <v>128</v>
      </c>
      <c r="G217" s="166">
        <v>6.7500000000000004E-2</v>
      </c>
      <c r="H217" s="166">
        <v>6.9000000000000006E-2</v>
      </c>
      <c r="I217" s="178">
        <v>6.7788000000000001E-2</v>
      </c>
      <c r="J217" s="180">
        <v>6.8000000000000005E-2</v>
      </c>
      <c r="K217" s="256">
        <v>3314500</v>
      </c>
      <c r="L217" s="257">
        <v>650000</v>
      </c>
      <c r="M217" s="170">
        <f t="shared" ref="M217:M222" si="37">IF(L217=0,0,K217/L217)</f>
        <v>5.0992307692307692</v>
      </c>
    </row>
    <row r="218" spans="1:13" s="1" customFormat="1" ht="12.75" customHeight="1" outlineLevel="1" x14ac:dyDescent="0.25">
      <c r="A218" s="164"/>
      <c r="B218" s="158"/>
      <c r="C218" s="160"/>
      <c r="D218" s="172" t="s">
        <v>150</v>
      </c>
      <c r="E218" s="158">
        <v>46218</v>
      </c>
      <c r="F218" s="166">
        <v>4.8750000000000002E-2</v>
      </c>
      <c r="G218" s="166">
        <v>6.7500000000000004E-2</v>
      </c>
      <c r="H218" s="166">
        <v>7.0000000000000007E-2</v>
      </c>
      <c r="I218" s="175">
        <v>6.8792699999999998E-2</v>
      </c>
      <c r="J218" s="180">
        <v>6.9099999999999995E-2</v>
      </c>
      <c r="K218" s="256">
        <v>3794000</v>
      </c>
      <c r="L218" s="256">
        <v>2150000</v>
      </c>
      <c r="M218" s="170">
        <f t="shared" si="37"/>
        <v>1.7646511627906978</v>
      </c>
    </row>
    <row r="219" spans="1:13" s="1" customFormat="1" ht="12.75" customHeight="1" outlineLevel="1" x14ac:dyDescent="0.25">
      <c r="A219" s="156"/>
      <c r="B219" s="156"/>
      <c r="C219" s="156"/>
      <c r="D219" s="2" t="s">
        <v>151</v>
      </c>
      <c r="E219" s="158">
        <v>46949</v>
      </c>
      <c r="F219" s="177">
        <v>5.8749999999999997E-2</v>
      </c>
      <c r="G219" s="166">
        <v>6.7199999999999996E-2</v>
      </c>
      <c r="H219" s="166">
        <v>7.0999999999999994E-2</v>
      </c>
      <c r="I219" s="175">
        <v>6.8199999999999997E-2</v>
      </c>
      <c r="J219" s="166">
        <v>6.8500000000000005E-2</v>
      </c>
      <c r="K219" s="256">
        <v>860000</v>
      </c>
      <c r="L219" s="256">
        <v>250000</v>
      </c>
      <c r="M219" s="170">
        <f t="shared" si="37"/>
        <v>3.44</v>
      </c>
    </row>
    <row r="220" spans="1:13" s="1" customFormat="1" ht="12.75" customHeight="1" outlineLevel="1" x14ac:dyDescent="0.25">
      <c r="A220" s="181"/>
      <c r="B220" s="156"/>
      <c r="C220" s="182"/>
      <c r="D220" s="2" t="s">
        <v>53</v>
      </c>
      <c r="E220" s="158">
        <v>50086</v>
      </c>
      <c r="F220" s="177">
        <v>6.0999999999999999E-2</v>
      </c>
      <c r="G220" s="166">
        <v>6.8199999999999997E-2</v>
      </c>
      <c r="H220" s="166">
        <v>7.1999999999999995E-2</v>
      </c>
      <c r="I220" s="175">
        <v>0</v>
      </c>
      <c r="J220" s="166">
        <v>0</v>
      </c>
      <c r="K220" s="256">
        <v>723000</v>
      </c>
      <c r="L220" s="256">
        <v>0</v>
      </c>
      <c r="M220" s="170">
        <f t="shared" si="37"/>
        <v>0</v>
      </c>
    </row>
    <row r="221" spans="1:13" s="1" customFormat="1" ht="12.75" customHeight="1" outlineLevel="1" x14ac:dyDescent="0.25">
      <c r="A221" s="181"/>
      <c r="B221" s="156"/>
      <c r="C221" s="182"/>
      <c r="D221" s="2" t="s">
        <v>152</v>
      </c>
      <c r="E221" s="158">
        <v>51697</v>
      </c>
      <c r="F221" s="177">
        <v>6.6250000000000003E-2</v>
      </c>
      <c r="G221" s="166">
        <v>6.88E-2</v>
      </c>
      <c r="H221" s="166">
        <v>7.0999999999999994E-2</v>
      </c>
      <c r="I221" s="175">
        <v>0</v>
      </c>
      <c r="J221" s="166">
        <v>0</v>
      </c>
      <c r="K221" s="256">
        <v>192500</v>
      </c>
      <c r="L221" s="256">
        <v>0</v>
      </c>
      <c r="M221" s="170">
        <f t="shared" si="37"/>
        <v>0</v>
      </c>
    </row>
    <row r="222" spans="1:13" s="1" customFormat="1" ht="12.75" customHeight="1" outlineLevel="1" x14ac:dyDescent="0.25">
      <c r="A222" s="181"/>
      <c r="B222" s="156"/>
      <c r="C222" s="182"/>
      <c r="D222" s="172" t="s">
        <v>142</v>
      </c>
      <c r="E222" s="158">
        <v>54772</v>
      </c>
      <c r="F222" s="166">
        <v>6.8750000000000006E-2</v>
      </c>
      <c r="G222" s="166">
        <v>7.0000000000000007E-2</v>
      </c>
      <c r="H222" s="166">
        <v>7.4999999999999997E-2</v>
      </c>
      <c r="I222" s="175">
        <v>7.0864499999999997E-2</v>
      </c>
      <c r="J222" s="175">
        <v>7.1800000000000003E-2</v>
      </c>
      <c r="K222" s="256">
        <v>5519500</v>
      </c>
      <c r="L222" s="256">
        <v>4800000</v>
      </c>
      <c r="M222" s="170">
        <f t="shared" si="37"/>
        <v>1.1498958333333333</v>
      </c>
    </row>
    <row r="223" spans="1:13" s="1" customFormat="1" ht="12.75" customHeight="1" outlineLevel="1" x14ac:dyDescent="0.25">
      <c r="A223" s="297" t="s">
        <v>121</v>
      </c>
      <c r="B223" s="298"/>
      <c r="C223" s="298"/>
      <c r="D223" s="298"/>
      <c r="E223" s="298"/>
      <c r="F223" s="298"/>
      <c r="G223" s="298"/>
      <c r="H223" s="298"/>
      <c r="I223" s="298"/>
      <c r="J223" s="299"/>
      <c r="K223" s="255">
        <f>SUM(K216:K222)</f>
        <v>16501000</v>
      </c>
      <c r="L223" s="255">
        <f>SUM(L216:L222)</f>
        <v>8100000</v>
      </c>
      <c r="M223" s="165"/>
    </row>
    <row r="224" spans="1:13" ht="12" customHeight="1" outlineLevel="1" x14ac:dyDescent="0.2">
      <c r="A224" s="198">
        <v>45440</v>
      </c>
      <c r="B224" s="215">
        <v>45442</v>
      </c>
      <c r="C224" s="199" t="s">
        <v>136</v>
      </c>
      <c r="D224" s="184" t="s">
        <v>205</v>
      </c>
      <c r="E224" s="185">
        <v>45532</v>
      </c>
      <c r="F224" s="186" t="s">
        <v>128</v>
      </c>
      <c r="G224" s="202">
        <v>6.5000000000000002E-2</v>
      </c>
      <c r="H224" s="202">
        <v>6.6500000000000004E-2</v>
      </c>
      <c r="I224" s="194">
        <v>6.5681600000000007E-2</v>
      </c>
      <c r="J224" s="194">
        <v>6.6000000000000003E-2</v>
      </c>
      <c r="K224" s="216">
        <v>2461000</v>
      </c>
      <c r="L224" s="216">
        <v>250000</v>
      </c>
      <c r="M224" s="188">
        <f t="shared" ref="M224:M225" si="38">IF(L224=0,0,K224/L224)</f>
        <v>9.8439999999999994</v>
      </c>
    </row>
    <row r="225" spans="1:13" ht="12" customHeight="1" outlineLevel="1" x14ac:dyDescent="0.2">
      <c r="A225" s="198"/>
      <c r="B225" s="183"/>
      <c r="C225" s="199"/>
      <c r="D225" s="184" t="s">
        <v>206</v>
      </c>
      <c r="E225" s="185">
        <v>45806</v>
      </c>
      <c r="F225" s="186" t="s">
        <v>128</v>
      </c>
      <c r="G225" s="186">
        <v>6.7699999999999996E-2</v>
      </c>
      <c r="H225" s="186">
        <v>6.93E-2</v>
      </c>
      <c r="I225" s="202">
        <v>6.7949999999999997E-2</v>
      </c>
      <c r="J225" s="203">
        <v>6.8199999999999997E-2</v>
      </c>
      <c r="K225" s="216">
        <v>4193000</v>
      </c>
      <c r="L225" s="216">
        <v>400000</v>
      </c>
      <c r="M225" s="188">
        <f t="shared" si="38"/>
        <v>10.4825</v>
      </c>
    </row>
    <row r="226" spans="1:13" ht="12.75" customHeight="1" outlineLevel="1" x14ac:dyDescent="0.2">
      <c r="A226" s="198"/>
      <c r="B226" s="185"/>
      <c r="C226" s="199"/>
      <c r="D226" s="184" t="s">
        <v>141</v>
      </c>
      <c r="E226" s="185">
        <v>47223</v>
      </c>
      <c r="F226" s="186">
        <v>6.8750000000000006E-2</v>
      </c>
      <c r="G226" s="186">
        <v>6.8599999999999994E-2</v>
      </c>
      <c r="H226" s="186">
        <v>7.0999999999999994E-2</v>
      </c>
      <c r="I226" s="187">
        <v>6.8898500000000001E-2</v>
      </c>
      <c r="J226" s="195">
        <v>6.9099999999999995E-2</v>
      </c>
      <c r="K226" s="216">
        <v>14734000</v>
      </c>
      <c r="L226" s="216">
        <v>6950000</v>
      </c>
      <c r="M226" s="188">
        <f>IF(L226=0,0,K226/L226)</f>
        <v>2.12</v>
      </c>
    </row>
    <row r="227" spans="1:13" ht="12.75" customHeight="1" outlineLevel="1" x14ac:dyDescent="0.25">
      <c r="A227" s="191"/>
      <c r="B227" s="189"/>
      <c r="C227" s="192"/>
      <c r="D227" s="184" t="s">
        <v>162</v>
      </c>
      <c r="E227" s="185">
        <v>47771</v>
      </c>
      <c r="F227" s="186">
        <v>7.3749999999999996E-2</v>
      </c>
      <c r="G227" s="186">
        <v>6.8099999999999994E-2</v>
      </c>
      <c r="H227" s="186">
        <v>7.1499999999999994E-2</v>
      </c>
      <c r="I227" s="202">
        <v>6.8593299999999996E-2</v>
      </c>
      <c r="J227" s="202">
        <v>6.9000000000000006E-2</v>
      </c>
      <c r="K227" s="216">
        <v>1628000</v>
      </c>
      <c r="L227" s="219">
        <v>850000</v>
      </c>
      <c r="M227" s="188">
        <f t="shared" ref="M227" si="39">IF(L227=0,0,K227/L227)</f>
        <v>1.9152941176470588</v>
      </c>
    </row>
    <row r="228" spans="1:13" ht="12.75" customHeight="1" outlineLevel="1" x14ac:dyDescent="0.25">
      <c r="A228" s="191"/>
      <c r="B228" s="189"/>
      <c r="C228" s="192"/>
      <c r="D228" s="184" t="s">
        <v>140</v>
      </c>
      <c r="E228" s="185">
        <v>48990</v>
      </c>
      <c r="F228" s="186">
        <v>6.6250000000000003E-2</v>
      </c>
      <c r="G228" s="186">
        <v>6.8400000000000002E-2</v>
      </c>
      <c r="H228" s="186">
        <v>7.0999999999999994E-2</v>
      </c>
      <c r="I228" s="196">
        <v>6.9195699999999999E-2</v>
      </c>
      <c r="J228" s="197">
        <v>6.9400000000000003E-2</v>
      </c>
      <c r="K228" s="216">
        <v>14083600</v>
      </c>
      <c r="L228" s="216">
        <v>9400000</v>
      </c>
      <c r="M228" s="188">
        <f>IF(L228=0,0,K228/L228)</f>
        <v>1.4982553191489361</v>
      </c>
    </row>
    <row r="229" spans="1:13" ht="12.75" customHeight="1" outlineLevel="1" x14ac:dyDescent="0.25">
      <c r="A229" s="191"/>
      <c r="B229" s="189"/>
      <c r="C229" s="192"/>
      <c r="D229" s="184" t="s">
        <v>138</v>
      </c>
      <c r="E229" s="185">
        <v>50571</v>
      </c>
      <c r="F229" s="186">
        <v>7.1249999999999994E-2</v>
      </c>
      <c r="G229" s="186">
        <v>6.9500000000000006E-2</v>
      </c>
      <c r="H229" s="186">
        <v>7.1800000000000003E-2</v>
      </c>
      <c r="I229" s="187">
        <v>6.9798200000000005E-2</v>
      </c>
      <c r="J229" s="197">
        <v>6.9900000000000004E-2</v>
      </c>
      <c r="K229" s="216">
        <v>3297100</v>
      </c>
      <c r="L229" s="216">
        <v>750000</v>
      </c>
      <c r="M229" s="188">
        <f>IF(L229=0,0,K229/L229)</f>
        <v>4.3961333333333332</v>
      </c>
    </row>
    <row r="230" spans="1:13" ht="12.75" customHeight="1" outlineLevel="1" x14ac:dyDescent="0.25">
      <c r="A230" s="191"/>
      <c r="B230" s="189"/>
      <c r="C230" s="192"/>
      <c r="D230" s="184" t="s">
        <v>137</v>
      </c>
      <c r="E230" s="185">
        <v>52397</v>
      </c>
      <c r="F230" s="186">
        <v>7.1249999999999994E-2</v>
      </c>
      <c r="G230" s="186">
        <v>6.9800000000000001E-2</v>
      </c>
      <c r="H230" s="186">
        <v>7.1499999999999994E-2</v>
      </c>
      <c r="I230" s="187">
        <v>7.0195999999999995E-2</v>
      </c>
      <c r="J230" s="195">
        <v>7.0400000000000004E-2</v>
      </c>
      <c r="K230" s="220">
        <v>3981900</v>
      </c>
      <c r="L230" s="220">
        <v>2050000</v>
      </c>
      <c r="M230" s="188">
        <f>IF(L230=0,0,K230/L230)</f>
        <v>1.942390243902439</v>
      </c>
    </row>
    <row r="231" spans="1:13" ht="12.75" customHeight="1" outlineLevel="1" x14ac:dyDescent="0.25">
      <c r="A231" s="191"/>
      <c r="B231" s="200"/>
      <c r="C231" s="192"/>
      <c r="D231" s="184" t="s">
        <v>146</v>
      </c>
      <c r="E231" s="185">
        <v>56445</v>
      </c>
      <c r="F231" s="186">
        <v>6.8750000000000006E-2</v>
      </c>
      <c r="G231" s="186">
        <v>6.9800000000000001E-2</v>
      </c>
      <c r="H231" s="186">
        <v>7.1499999999999994E-2</v>
      </c>
      <c r="I231" s="197">
        <v>7.0294300000000004E-2</v>
      </c>
      <c r="J231" s="196">
        <v>7.0499999999999993E-2</v>
      </c>
      <c r="K231" s="220">
        <v>2736100</v>
      </c>
      <c r="L231" s="220">
        <v>1350000</v>
      </c>
      <c r="M231" s="201">
        <f>IF(L231=0,0,K231/L231)</f>
        <v>2.026740740740741</v>
      </c>
    </row>
    <row r="232" spans="1:13" s="1" customFormat="1" ht="12.75" customHeight="1" outlineLevel="1" x14ac:dyDescent="0.25">
      <c r="A232" s="293" t="s">
        <v>121</v>
      </c>
      <c r="B232" s="294"/>
      <c r="C232" s="295"/>
      <c r="D232" s="295"/>
      <c r="E232" s="295"/>
      <c r="F232" s="295"/>
      <c r="G232" s="295"/>
      <c r="H232" s="295"/>
      <c r="I232" s="295"/>
      <c r="J232" s="296"/>
      <c r="K232" s="190">
        <f>SUM(K224:K231)</f>
        <v>47114700</v>
      </c>
      <c r="L232" s="190">
        <f>SUM(L224:L231)</f>
        <v>22000000</v>
      </c>
      <c r="M232" s="193"/>
    </row>
    <row r="233" spans="1:13" ht="10.5" x14ac:dyDescent="0.25">
      <c r="A233" s="300" t="s">
        <v>202</v>
      </c>
      <c r="B233" s="301"/>
      <c r="C233" s="301"/>
      <c r="D233" s="301"/>
      <c r="E233" s="301"/>
      <c r="F233" s="301"/>
      <c r="G233" s="301"/>
      <c r="H233" s="301"/>
      <c r="I233" s="301"/>
      <c r="J233" s="302"/>
      <c r="K233" s="173">
        <f>K184+K192+K200+K232+K223+K215</f>
        <v>199685420</v>
      </c>
      <c r="L233" s="173">
        <f>L184+L192+L200+L232+L223+L215</f>
        <v>100442920</v>
      </c>
      <c r="M233" s="165"/>
    </row>
    <row r="234" spans="1:13" ht="10.5" x14ac:dyDescent="0.25">
      <c r="A234" s="300" t="s">
        <v>207</v>
      </c>
      <c r="B234" s="301"/>
      <c r="C234" s="301"/>
      <c r="D234" s="301"/>
      <c r="E234" s="301"/>
      <c r="F234" s="301"/>
      <c r="G234" s="301"/>
      <c r="H234" s="301"/>
      <c r="I234" s="301"/>
      <c r="J234" s="302"/>
      <c r="K234" s="173">
        <f>K176+K233</f>
        <v>826847872</v>
      </c>
      <c r="L234" s="173">
        <f>L176+L233</f>
        <v>434484772</v>
      </c>
      <c r="M234" s="165"/>
    </row>
    <row r="235" spans="1:13" x14ac:dyDescent="0.2">
      <c r="A235" s="164">
        <v>45447</v>
      </c>
      <c r="B235" s="164">
        <v>45388</v>
      </c>
      <c r="C235" s="160" t="s">
        <v>136</v>
      </c>
      <c r="D235" s="172" t="s">
        <v>187</v>
      </c>
      <c r="E235" s="158">
        <v>45628</v>
      </c>
      <c r="F235" s="166" t="s">
        <v>128</v>
      </c>
      <c r="G235" s="258">
        <v>6.5000000000000002E-2</v>
      </c>
      <c r="H235" s="166">
        <v>6.6000000000000003E-2</v>
      </c>
      <c r="I235" s="166">
        <v>6.5887500000000002E-2</v>
      </c>
      <c r="J235" s="166">
        <v>6.6000000000000003E-2</v>
      </c>
      <c r="K235" s="256">
        <v>2204500</v>
      </c>
      <c r="L235" s="257">
        <v>800000</v>
      </c>
      <c r="M235" s="170">
        <f>IF(L235=0,0,K235/L235)</f>
        <v>2.7556250000000002</v>
      </c>
    </row>
    <row r="236" spans="1:13" x14ac:dyDescent="0.2">
      <c r="A236" s="164"/>
      <c r="B236" s="164"/>
      <c r="C236" s="160"/>
      <c r="D236" s="172" t="s">
        <v>209</v>
      </c>
      <c r="E236" s="158">
        <v>45719</v>
      </c>
      <c r="F236" s="166" t="s">
        <v>128</v>
      </c>
      <c r="G236" s="166">
        <v>6.6799999999999998E-2</v>
      </c>
      <c r="H236" s="166">
        <v>6.8500000000000005E-2</v>
      </c>
      <c r="I236" s="178">
        <v>6.7857700000000007E-2</v>
      </c>
      <c r="J236" s="180">
        <v>6.8000000000000005E-2</v>
      </c>
      <c r="K236" s="256">
        <v>3733000</v>
      </c>
      <c r="L236" s="257">
        <v>2350000</v>
      </c>
      <c r="M236" s="170">
        <f t="shared" ref="M236:M241" si="40">IF(L236=0,0,K236/L236)</f>
        <v>1.5885106382978724</v>
      </c>
    </row>
    <row r="237" spans="1:13" x14ac:dyDescent="0.2">
      <c r="A237" s="164"/>
      <c r="B237" s="158"/>
      <c r="C237" s="160"/>
      <c r="D237" s="172" t="s">
        <v>150</v>
      </c>
      <c r="E237" s="158">
        <v>46218</v>
      </c>
      <c r="F237" s="166">
        <v>4.8750000000000002E-2</v>
      </c>
      <c r="G237" s="166">
        <v>6.8099999999999994E-2</v>
      </c>
      <c r="H237" s="166">
        <v>7.0000000000000007E-2</v>
      </c>
      <c r="I237" s="175">
        <v>6.8526799999999999E-2</v>
      </c>
      <c r="J237" s="180">
        <v>6.8699999999999997E-2</v>
      </c>
      <c r="K237" s="256">
        <v>9117000</v>
      </c>
      <c r="L237" s="256">
        <v>2400000</v>
      </c>
      <c r="M237" s="170">
        <f t="shared" si="40"/>
        <v>3.7987500000000001</v>
      </c>
    </row>
    <row r="238" spans="1:13" ht="10.5" x14ac:dyDescent="0.25">
      <c r="A238" s="156"/>
      <c r="B238" s="156"/>
      <c r="C238" s="156"/>
      <c r="D238" s="2" t="s">
        <v>151</v>
      </c>
      <c r="E238" s="158">
        <v>46949</v>
      </c>
      <c r="F238" s="177">
        <v>5.8749999999999997E-2</v>
      </c>
      <c r="G238" s="166">
        <v>6.7299999999999999E-2</v>
      </c>
      <c r="H238" s="166">
        <v>7.0000000000000007E-2</v>
      </c>
      <c r="I238" s="175">
        <v>6.8076700000000004E-2</v>
      </c>
      <c r="J238" s="166">
        <v>6.8099999999999994E-2</v>
      </c>
      <c r="K238" s="256">
        <v>1358000</v>
      </c>
      <c r="L238" s="256">
        <v>150000</v>
      </c>
      <c r="M238" s="170">
        <f t="shared" si="40"/>
        <v>9.0533333333333328</v>
      </c>
    </row>
    <row r="239" spans="1:13" ht="10.5" x14ac:dyDescent="0.25">
      <c r="A239" s="156"/>
      <c r="B239" s="156"/>
      <c r="C239" s="156"/>
      <c r="D239" s="172" t="s">
        <v>139</v>
      </c>
      <c r="E239" s="158">
        <v>47376</v>
      </c>
      <c r="F239" s="166">
        <v>6.6250000000000003E-2</v>
      </c>
      <c r="G239" s="166">
        <v>6.6900000000000001E-2</v>
      </c>
      <c r="H239" s="166">
        <v>6.9500000000000006E-2</v>
      </c>
      <c r="I239" s="175">
        <v>6.7898200000000006E-2</v>
      </c>
      <c r="J239" s="175">
        <v>6.8400000000000002E-2</v>
      </c>
      <c r="K239" s="256">
        <v>3273000</v>
      </c>
      <c r="L239" s="256">
        <v>2600000</v>
      </c>
      <c r="M239" s="170">
        <f t="shared" si="40"/>
        <v>1.2588461538461539</v>
      </c>
    </row>
    <row r="240" spans="1:13" ht="10.5" x14ac:dyDescent="0.25">
      <c r="A240" s="156"/>
      <c r="B240" s="156"/>
      <c r="C240" s="156"/>
      <c r="D240" s="172" t="s">
        <v>53</v>
      </c>
      <c r="E240" s="158">
        <v>50086</v>
      </c>
      <c r="F240" s="166">
        <v>6.0999999999999999E-2</v>
      </c>
      <c r="G240" s="166">
        <v>6.8000000000000005E-2</v>
      </c>
      <c r="H240" s="166">
        <v>7.1999999999999995E-2</v>
      </c>
      <c r="I240" s="175">
        <v>6.8798600000000001E-2</v>
      </c>
      <c r="J240" s="175">
        <v>6.9000000000000006E-2</v>
      </c>
      <c r="K240" s="256">
        <v>772000</v>
      </c>
      <c r="L240" s="256">
        <v>300000</v>
      </c>
      <c r="M240" s="170">
        <f t="shared" si="40"/>
        <v>2.5733333333333333</v>
      </c>
    </row>
    <row r="241" spans="1:13" ht="10.5" x14ac:dyDescent="0.25">
      <c r="A241" s="181"/>
      <c r="B241" s="156"/>
      <c r="C241" s="182"/>
      <c r="D241" s="172" t="s">
        <v>142</v>
      </c>
      <c r="E241" s="158">
        <v>54772</v>
      </c>
      <c r="F241" s="166">
        <v>6.8750000000000006E-2</v>
      </c>
      <c r="G241" s="166">
        <v>7.0900000000000005E-2</v>
      </c>
      <c r="H241" s="166">
        <v>7.2999999999999995E-2</v>
      </c>
      <c r="I241" s="175">
        <v>7.1099099999999998E-2</v>
      </c>
      <c r="J241" s="175">
        <v>7.1199999999999999E-2</v>
      </c>
      <c r="K241" s="256">
        <v>5750000</v>
      </c>
      <c r="L241" s="256">
        <v>1400000</v>
      </c>
      <c r="M241" s="170">
        <f t="shared" si="40"/>
        <v>4.1071428571428568</v>
      </c>
    </row>
    <row r="242" spans="1:13" ht="10.5" x14ac:dyDescent="0.25">
      <c r="A242" s="297" t="s">
        <v>121</v>
      </c>
      <c r="B242" s="298"/>
      <c r="C242" s="298"/>
      <c r="D242" s="298"/>
      <c r="E242" s="298"/>
      <c r="F242" s="298"/>
      <c r="G242" s="298"/>
      <c r="H242" s="298"/>
      <c r="I242" s="298"/>
      <c r="J242" s="299"/>
      <c r="K242" s="255">
        <f>SUM(K235:K241)</f>
        <v>26207500</v>
      </c>
      <c r="L242" s="255">
        <f>SUM(L235:L241)</f>
        <v>10000000</v>
      </c>
      <c r="M242" s="165"/>
    </row>
    <row r="243" spans="1:13" x14ac:dyDescent="0.2">
      <c r="A243" s="259">
        <v>45446</v>
      </c>
      <c r="B243" s="260">
        <v>45448</v>
      </c>
      <c r="C243" s="261" t="s">
        <v>155</v>
      </c>
      <c r="D243" s="172" t="s">
        <v>226</v>
      </c>
      <c r="E243" s="158">
        <v>46152</v>
      </c>
      <c r="F243" s="166">
        <v>6.4000000000000001E-2</v>
      </c>
      <c r="G243" s="178"/>
      <c r="H243" s="178"/>
      <c r="I243" s="262"/>
      <c r="J243" s="262"/>
      <c r="K243" s="256">
        <v>14569758</v>
      </c>
      <c r="L243" s="256">
        <v>14569758</v>
      </c>
      <c r="M243" s="264">
        <f t="shared" ref="M243:M244" si="41">IF(L243=0,0,K243/L243)</f>
        <v>1</v>
      </c>
    </row>
    <row r="244" spans="1:13" x14ac:dyDescent="0.2">
      <c r="A244" s="259"/>
      <c r="B244" s="273"/>
      <c r="C244" s="261"/>
      <c r="D244" s="172" t="s">
        <v>227</v>
      </c>
      <c r="E244" s="158">
        <v>46883</v>
      </c>
      <c r="F244" s="166">
        <v>6.5500000000000003E-2</v>
      </c>
      <c r="G244" s="166"/>
      <c r="H244" s="166"/>
      <c r="I244" s="178"/>
      <c r="J244" s="180"/>
      <c r="K244" s="256">
        <v>5076671</v>
      </c>
      <c r="L244" s="256">
        <v>5076671</v>
      </c>
      <c r="M244" s="271">
        <f t="shared" si="41"/>
        <v>1</v>
      </c>
    </row>
    <row r="245" spans="1:13" ht="10.5" x14ac:dyDescent="0.25">
      <c r="A245" s="297" t="s">
        <v>121</v>
      </c>
      <c r="B245" s="303"/>
      <c r="C245" s="298"/>
      <c r="D245" s="298"/>
      <c r="E245" s="298"/>
      <c r="F245" s="298"/>
      <c r="G245" s="298"/>
      <c r="H245" s="298"/>
      <c r="I245" s="298"/>
      <c r="J245" s="299"/>
      <c r="K245" s="176">
        <f>SUM(K243:K244)</f>
        <v>19646429</v>
      </c>
      <c r="L245" s="176">
        <f>SUM(L243:L244)</f>
        <v>19646429</v>
      </c>
      <c r="M245" s="272"/>
    </row>
    <row r="246" spans="1:13" ht="12" customHeight="1" outlineLevel="1" x14ac:dyDescent="0.2">
      <c r="A246" s="198">
        <v>45454</v>
      </c>
      <c r="B246" s="215">
        <v>45456</v>
      </c>
      <c r="C246" s="199" t="s">
        <v>136</v>
      </c>
      <c r="D246" s="184" t="s">
        <v>210</v>
      </c>
      <c r="E246" s="185">
        <v>45546</v>
      </c>
      <c r="F246" s="186" t="s">
        <v>128</v>
      </c>
      <c r="G246" s="202">
        <v>6.59E-2</v>
      </c>
      <c r="H246" s="202">
        <v>6.6000000000000003E-2</v>
      </c>
      <c r="I246" s="194">
        <v>6.59E-2</v>
      </c>
      <c r="J246" s="194">
        <v>6.59E-2</v>
      </c>
      <c r="K246" s="216">
        <v>2395000</v>
      </c>
      <c r="L246" s="216">
        <v>200000</v>
      </c>
      <c r="M246" s="188">
        <f t="shared" ref="M246:M247" si="42">IF(L246=0,0,K246/L246)</f>
        <v>11.975</v>
      </c>
    </row>
    <row r="247" spans="1:13" ht="12" customHeight="1" outlineLevel="1" x14ac:dyDescent="0.2">
      <c r="A247" s="198"/>
      <c r="B247" s="183"/>
      <c r="C247" s="199"/>
      <c r="D247" s="184" t="s">
        <v>211</v>
      </c>
      <c r="E247" s="185">
        <v>45820</v>
      </c>
      <c r="F247" s="186" t="s">
        <v>128</v>
      </c>
      <c r="G247" s="186">
        <v>6.8000000000000005E-2</v>
      </c>
      <c r="H247" s="186">
        <v>7.0000000000000007E-2</v>
      </c>
      <c r="I247" s="202">
        <v>6.8191399999999999E-2</v>
      </c>
      <c r="J247" s="203">
        <v>6.8400000000000002E-2</v>
      </c>
      <c r="K247" s="216">
        <v>4089000</v>
      </c>
      <c r="L247" s="216">
        <v>1000000</v>
      </c>
      <c r="M247" s="188">
        <f t="shared" si="42"/>
        <v>4.0890000000000004</v>
      </c>
    </row>
    <row r="248" spans="1:13" ht="12.75" customHeight="1" outlineLevel="1" x14ac:dyDescent="0.2">
      <c r="A248" s="198"/>
      <c r="B248" s="185"/>
      <c r="C248" s="199"/>
      <c r="D248" s="184" t="s">
        <v>141</v>
      </c>
      <c r="E248" s="185">
        <v>47223</v>
      </c>
      <c r="F248" s="186">
        <v>6.8750000000000006E-2</v>
      </c>
      <c r="G248" s="186">
        <v>6.9099999999999995E-2</v>
      </c>
      <c r="H248" s="186">
        <v>7.1999999999999995E-2</v>
      </c>
      <c r="I248" s="187">
        <v>6.94998E-2</v>
      </c>
      <c r="J248" s="195">
        <v>6.9800000000000001E-2</v>
      </c>
      <c r="K248" s="216">
        <v>13257600</v>
      </c>
      <c r="L248" s="216">
        <v>7700000</v>
      </c>
      <c r="M248" s="188">
        <f>IF(L248=0,0,K248/L248)</f>
        <v>1.7217662337662338</v>
      </c>
    </row>
    <row r="249" spans="1:13" ht="12.75" customHeight="1" outlineLevel="1" x14ac:dyDescent="0.25">
      <c r="A249" s="191"/>
      <c r="B249" s="189"/>
      <c r="C249" s="192"/>
      <c r="D249" s="184" t="s">
        <v>140</v>
      </c>
      <c r="E249" s="185">
        <v>48990</v>
      </c>
      <c r="F249" s="186">
        <v>6.6250000000000003E-2</v>
      </c>
      <c r="G249" s="186">
        <v>6.9699999999999998E-2</v>
      </c>
      <c r="H249" s="186">
        <v>7.1499999999999994E-2</v>
      </c>
      <c r="I249" s="196">
        <v>7.0199300000000006E-2</v>
      </c>
      <c r="J249" s="197">
        <v>7.0499999999999993E-2</v>
      </c>
      <c r="K249" s="216">
        <v>12450300</v>
      </c>
      <c r="L249" s="216">
        <v>7800000</v>
      </c>
      <c r="M249" s="188">
        <f>IF(L249=0,0,K249/L249)</f>
        <v>1.5961923076923077</v>
      </c>
    </row>
    <row r="250" spans="1:13" ht="12.75" customHeight="1" outlineLevel="1" x14ac:dyDescent="0.25">
      <c r="A250" s="191"/>
      <c r="B250" s="189"/>
      <c r="C250" s="192"/>
      <c r="D250" s="184" t="s">
        <v>138</v>
      </c>
      <c r="E250" s="185">
        <v>50571</v>
      </c>
      <c r="F250" s="186">
        <v>7.1249999999999994E-2</v>
      </c>
      <c r="G250" s="186">
        <v>6.9900000000000004E-2</v>
      </c>
      <c r="H250" s="186">
        <v>7.1800000000000003E-2</v>
      </c>
      <c r="I250" s="187">
        <v>7.0396399999999998E-2</v>
      </c>
      <c r="J250" s="197">
        <v>7.0599999999999996E-2</v>
      </c>
      <c r="K250" s="216">
        <v>4358600</v>
      </c>
      <c r="L250" s="216">
        <v>2150000</v>
      </c>
      <c r="M250" s="188">
        <f>IF(L250=0,0,K250/L250)</f>
        <v>2.0272558139534884</v>
      </c>
    </row>
    <row r="251" spans="1:13" ht="12.75" customHeight="1" outlineLevel="1" x14ac:dyDescent="0.25">
      <c r="A251" s="191"/>
      <c r="B251" s="189"/>
      <c r="C251" s="192"/>
      <c r="D251" s="184" t="s">
        <v>137</v>
      </c>
      <c r="E251" s="185">
        <v>52397</v>
      </c>
      <c r="F251" s="186">
        <v>7.1249999999999994E-2</v>
      </c>
      <c r="G251" s="186">
        <v>7.0499999999999993E-2</v>
      </c>
      <c r="H251" s="186">
        <v>7.1800000000000003E-2</v>
      </c>
      <c r="I251" s="187">
        <v>7.0598599999999997E-2</v>
      </c>
      <c r="J251" s="195">
        <v>7.0699999999999999E-2</v>
      </c>
      <c r="K251" s="220">
        <v>3922500</v>
      </c>
      <c r="L251" s="220">
        <v>1250000</v>
      </c>
      <c r="M251" s="188">
        <f>IF(L251=0,0,K251/L251)</f>
        <v>3.1379999999999999</v>
      </c>
    </row>
    <row r="252" spans="1:13" ht="12.75" customHeight="1" outlineLevel="1" x14ac:dyDescent="0.25">
      <c r="A252" s="191"/>
      <c r="B252" s="200"/>
      <c r="C252" s="192"/>
      <c r="D252" s="184" t="s">
        <v>146</v>
      </c>
      <c r="E252" s="185">
        <v>56445</v>
      </c>
      <c r="F252" s="186">
        <v>6.8750000000000006E-2</v>
      </c>
      <c r="G252" s="186">
        <v>7.0199999999999999E-2</v>
      </c>
      <c r="H252" s="186">
        <v>7.1999999999999995E-2</v>
      </c>
      <c r="I252" s="197">
        <v>7.0595900000000003E-2</v>
      </c>
      <c r="J252" s="196">
        <v>7.1199999999999999E-2</v>
      </c>
      <c r="K252" s="220">
        <v>2488200</v>
      </c>
      <c r="L252" s="220">
        <v>1900000</v>
      </c>
      <c r="M252" s="201">
        <f>IF(L252=0,0,K252/L252)</f>
        <v>1.309578947368421</v>
      </c>
    </row>
    <row r="253" spans="1:13" s="1" customFormat="1" ht="12.75" customHeight="1" outlineLevel="1" x14ac:dyDescent="0.25">
      <c r="A253" s="293" t="s">
        <v>121</v>
      </c>
      <c r="B253" s="294"/>
      <c r="C253" s="295"/>
      <c r="D253" s="295"/>
      <c r="E253" s="295"/>
      <c r="F253" s="295"/>
      <c r="G253" s="295"/>
      <c r="H253" s="295"/>
      <c r="I253" s="295"/>
      <c r="J253" s="296"/>
      <c r="K253" s="190">
        <f>SUM(K246:K252)</f>
        <v>42961200</v>
      </c>
      <c r="L253" s="190">
        <f>SUM(L246:L252)</f>
        <v>22000000</v>
      </c>
      <c r="M253" s="193"/>
    </row>
    <row r="254" spans="1:13" s="1" customFormat="1" ht="12.75" customHeight="1" outlineLevel="1" x14ac:dyDescent="0.25">
      <c r="A254" s="164">
        <v>45462</v>
      </c>
      <c r="B254" s="164">
        <v>45464</v>
      </c>
      <c r="C254" s="160" t="s">
        <v>136</v>
      </c>
      <c r="D254" s="172" t="s">
        <v>187</v>
      </c>
      <c r="E254" s="158">
        <v>45628</v>
      </c>
      <c r="F254" s="166" t="s">
        <v>128</v>
      </c>
      <c r="G254" s="258">
        <v>6.7000000000000004E-2</v>
      </c>
      <c r="H254" s="166">
        <v>6.8500000000000005E-2</v>
      </c>
      <c r="I254" s="166">
        <v>6.7924999999999999E-2</v>
      </c>
      <c r="J254" s="166">
        <v>6.8000000000000005E-2</v>
      </c>
      <c r="K254" s="256">
        <v>2170000</v>
      </c>
      <c r="L254" s="257">
        <v>200000</v>
      </c>
      <c r="M254" s="170">
        <f>IF(L254=0,0,K254/L254)</f>
        <v>10.85</v>
      </c>
    </row>
    <row r="255" spans="1:13" s="1" customFormat="1" ht="12.75" customHeight="1" outlineLevel="1" x14ac:dyDescent="0.25">
      <c r="A255" s="164"/>
      <c r="B255" s="164"/>
      <c r="C255" s="160"/>
      <c r="D255" s="172" t="s">
        <v>209</v>
      </c>
      <c r="E255" s="158">
        <v>45719</v>
      </c>
      <c r="F255" s="166" t="s">
        <v>128</v>
      </c>
      <c r="G255" s="166">
        <v>6.8000000000000005E-2</v>
      </c>
      <c r="H255" s="166">
        <v>6.9800000000000001E-2</v>
      </c>
      <c r="I255" s="178">
        <v>6.8738400000000005E-2</v>
      </c>
      <c r="J255" s="180">
        <v>6.9500000000000006E-2</v>
      </c>
      <c r="K255" s="256">
        <v>3368000</v>
      </c>
      <c r="L255" s="257">
        <v>1000000</v>
      </c>
      <c r="M255" s="170">
        <f t="shared" ref="M255:M260" si="43">IF(L255=0,0,K255/L255)</f>
        <v>3.3679999999999999</v>
      </c>
    </row>
    <row r="256" spans="1:13" s="1" customFormat="1" ht="12.75" customHeight="1" outlineLevel="1" x14ac:dyDescent="0.25">
      <c r="A256" s="164"/>
      <c r="B256" s="158"/>
      <c r="C256" s="160"/>
      <c r="D256" s="172" t="s">
        <v>150</v>
      </c>
      <c r="E256" s="158">
        <v>46218</v>
      </c>
      <c r="F256" s="166">
        <v>4.8750000000000002E-2</v>
      </c>
      <c r="G256" s="166">
        <v>6.88E-2</v>
      </c>
      <c r="H256" s="166">
        <v>7.1599999999999997E-2</v>
      </c>
      <c r="I256" s="175">
        <v>6.9415500000000005E-2</v>
      </c>
      <c r="J256" s="180">
        <v>7.0000000000000007E-2</v>
      </c>
      <c r="K256" s="256">
        <v>5497500</v>
      </c>
      <c r="L256" s="256">
        <v>3500000</v>
      </c>
      <c r="M256" s="170">
        <f t="shared" si="43"/>
        <v>1.5707142857142857</v>
      </c>
    </row>
    <row r="257" spans="1:13" s="1" customFormat="1" ht="12.75" customHeight="1" outlineLevel="1" x14ac:dyDescent="0.25">
      <c r="A257" s="156"/>
      <c r="B257" s="156"/>
      <c r="C257" s="156"/>
      <c r="D257" s="2" t="s">
        <v>151</v>
      </c>
      <c r="E257" s="158">
        <v>46949</v>
      </c>
      <c r="F257" s="177">
        <v>5.8749999999999997E-2</v>
      </c>
      <c r="G257" s="166">
        <v>6.93E-2</v>
      </c>
      <c r="H257" s="166">
        <v>7.0999999999999994E-2</v>
      </c>
      <c r="I257" s="175">
        <v>6.9997000000000004E-2</v>
      </c>
      <c r="J257" s="166">
        <v>7.0300000000000001E-2</v>
      </c>
      <c r="K257" s="256">
        <v>1301000</v>
      </c>
      <c r="L257" s="256">
        <v>800000</v>
      </c>
      <c r="M257" s="170">
        <f t="shared" si="43"/>
        <v>1.62625</v>
      </c>
    </row>
    <row r="258" spans="1:13" s="1" customFormat="1" ht="12.75" customHeight="1" outlineLevel="1" x14ac:dyDescent="0.25">
      <c r="A258" s="181"/>
      <c r="B258" s="156"/>
      <c r="C258" s="182"/>
      <c r="D258" s="2" t="s">
        <v>53</v>
      </c>
      <c r="E258" s="158">
        <v>50086</v>
      </c>
      <c r="F258" s="177">
        <v>6.0999999999999999E-2</v>
      </c>
      <c r="G258" s="166">
        <v>6.9199999999999998E-2</v>
      </c>
      <c r="H258" s="166">
        <v>7.3499999999999996E-2</v>
      </c>
      <c r="I258" s="175">
        <v>6.9925699999999993E-2</v>
      </c>
      <c r="J258" s="166">
        <v>7.0000000000000007E-2</v>
      </c>
      <c r="K258" s="256">
        <v>422600</v>
      </c>
      <c r="L258" s="256">
        <v>100000</v>
      </c>
      <c r="M258" s="170">
        <f t="shared" si="43"/>
        <v>4.226</v>
      </c>
    </row>
    <row r="259" spans="1:13" s="1" customFormat="1" ht="12.75" customHeight="1" outlineLevel="1" x14ac:dyDescent="0.25">
      <c r="A259" s="181"/>
      <c r="B259" s="156"/>
      <c r="C259" s="182"/>
      <c r="D259" s="2" t="s">
        <v>152</v>
      </c>
      <c r="E259" s="158">
        <v>51697</v>
      </c>
      <c r="F259" s="177">
        <v>6.6250000000000003E-2</v>
      </c>
      <c r="G259" s="166">
        <v>7.0000000000000007E-2</v>
      </c>
      <c r="H259" s="166">
        <v>7.1999999999999995E-2</v>
      </c>
      <c r="I259" s="175">
        <v>7.0253899999999994E-2</v>
      </c>
      <c r="J259" s="166">
        <v>7.0499999999999993E-2</v>
      </c>
      <c r="K259" s="256">
        <v>1134000</v>
      </c>
      <c r="L259" s="256">
        <v>1050000</v>
      </c>
      <c r="M259" s="170">
        <f t="shared" si="43"/>
        <v>1.08</v>
      </c>
    </row>
    <row r="260" spans="1:13" s="1" customFormat="1" ht="12.75" customHeight="1" outlineLevel="1" x14ac:dyDescent="0.25">
      <c r="A260" s="181"/>
      <c r="B260" s="156"/>
      <c r="C260" s="182"/>
      <c r="D260" s="172" t="s">
        <v>142</v>
      </c>
      <c r="E260" s="158">
        <v>54772</v>
      </c>
      <c r="F260" s="166">
        <v>6.8750000000000006E-2</v>
      </c>
      <c r="G260" s="166">
        <v>7.0800000000000002E-2</v>
      </c>
      <c r="H260" s="166">
        <v>7.3999999999999996E-2</v>
      </c>
      <c r="I260" s="175">
        <v>7.1799699999999994E-2</v>
      </c>
      <c r="J260" s="175">
        <v>7.2499999999999995E-2</v>
      </c>
      <c r="K260" s="256">
        <v>2444500</v>
      </c>
      <c r="L260" s="256">
        <v>1400000</v>
      </c>
      <c r="M260" s="170">
        <f t="shared" si="43"/>
        <v>1.7460714285714285</v>
      </c>
    </row>
    <row r="261" spans="1:13" s="1" customFormat="1" ht="12.75" customHeight="1" outlineLevel="1" x14ac:dyDescent="0.25">
      <c r="A261" s="297" t="s">
        <v>121</v>
      </c>
      <c r="B261" s="298"/>
      <c r="C261" s="298"/>
      <c r="D261" s="298"/>
      <c r="E261" s="298"/>
      <c r="F261" s="298"/>
      <c r="G261" s="298"/>
      <c r="H261" s="298"/>
      <c r="I261" s="298"/>
      <c r="J261" s="299"/>
      <c r="K261" s="255">
        <f>SUM(K254:K260)</f>
        <v>16337600</v>
      </c>
      <c r="L261" s="255">
        <f>SUM(L254:L260)</f>
        <v>8050000</v>
      </c>
      <c r="M261" s="165"/>
    </row>
    <row r="262" spans="1:13" ht="10.5" x14ac:dyDescent="0.25">
      <c r="A262" s="300" t="s">
        <v>208</v>
      </c>
      <c r="B262" s="301"/>
      <c r="C262" s="301"/>
      <c r="D262" s="301"/>
      <c r="E262" s="301"/>
      <c r="F262" s="301"/>
      <c r="G262" s="301"/>
      <c r="H262" s="301"/>
      <c r="I262" s="301"/>
      <c r="J262" s="302"/>
      <c r="K262" s="173">
        <f>K242+K245+K253+K261</f>
        <v>105152729</v>
      </c>
      <c r="L262" s="173">
        <f>L242+L245+L253+L261</f>
        <v>59696429</v>
      </c>
      <c r="M262" s="105"/>
    </row>
    <row r="263" spans="1:13" ht="10.5" x14ac:dyDescent="0.25">
      <c r="A263" s="300" t="s">
        <v>228</v>
      </c>
      <c r="B263" s="301"/>
      <c r="C263" s="301"/>
      <c r="D263" s="301"/>
      <c r="E263" s="301"/>
      <c r="F263" s="301"/>
      <c r="G263" s="301"/>
      <c r="H263" s="301"/>
      <c r="I263" s="301"/>
      <c r="J263" s="302"/>
      <c r="K263" s="173">
        <f>K234+K262</f>
        <v>932000601</v>
      </c>
      <c r="L263" s="173">
        <f>L234+L262</f>
        <v>494181201</v>
      </c>
      <c r="M263" s="165"/>
    </row>
    <row r="264" spans="1:13" x14ac:dyDescent="0.2">
      <c r="A264" s="2"/>
      <c r="B264" s="2"/>
      <c r="C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x14ac:dyDescent="0.2">
      <c r="A265" s="2"/>
      <c r="B265" s="2"/>
      <c r="C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x14ac:dyDescent="0.2">
      <c r="A266" s="2"/>
      <c r="B266" s="2"/>
      <c r="C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x14ac:dyDescent="0.2">
      <c r="A267" s="2"/>
      <c r="B267" s="2"/>
      <c r="C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x14ac:dyDescent="0.2">
      <c r="A268" s="2"/>
      <c r="B268" s="2"/>
      <c r="C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x14ac:dyDescent="0.2">
      <c r="A269" s="2"/>
      <c r="B269" s="2"/>
      <c r="C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x14ac:dyDescent="0.2">
      <c r="A270" s="2"/>
      <c r="B270" s="2"/>
      <c r="C270" s="2"/>
      <c r="E270" s="2"/>
      <c r="F270" s="2"/>
      <c r="G270" s="2"/>
      <c r="H270" s="2"/>
      <c r="I270" s="2"/>
      <c r="J270" s="2"/>
      <c r="K270" s="2"/>
      <c r="L270" s="2"/>
      <c r="M270" s="2"/>
    </row>
  </sheetData>
  <mergeCells count="52">
    <mergeCell ref="A263:J263"/>
    <mergeCell ref="A233:J233"/>
    <mergeCell ref="A158:J158"/>
    <mergeCell ref="A166:J166"/>
    <mergeCell ref="A174:J174"/>
    <mergeCell ref="A175:J175"/>
    <mergeCell ref="A176:J176"/>
    <mergeCell ref="A192:J192"/>
    <mergeCell ref="A200:J200"/>
    <mergeCell ref="A232:J232"/>
    <mergeCell ref="A253:J253"/>
    <mergeCell ref="A215:J215"/>
    <mergeCell ref="A261:J261"/>
    <mergeCell ref="L2:M2"/>
    <mergeCell ref="A42:J42"/>
    <mergeCell ref="A75:J75"/>
    <mergeCell ref="A74:J74"/>
    <mergeCell ref="A57:J57"/>
    <mergeCell ref="A65:J65"/>
    <mergeCell ref="A49:J49"/>
    <mergeCell ref="A73:J73"/>
    <mergeCell ref="A11:J11"/>
    <mergeCell ref="A19:J19"/>
    <mergeCell ref="A26:J26"/>
    <mergeCell ref="A27:A28"/>
    <mergeCell ref="B27:B28"/>
    <mergeCell ref="C27:C28"/>
    <mergeCell ref="A29:J29"/>
    <mergeCell ref="A30:A33"/>
    <mergeCell ref="B30:B33"/>
    <mergeCell ref="C30:C33"/>
    <mergeCell ref="A34:J34"/>
    <mergeCell ref="A92:J92"/>
    <mergeCell ref="A100:J100"/>
    <mergeCell ref="A84:J84"/>
    <mergeCell ref="A111:J111"/>
    <mergeCell ref="A108:J108"/>
    <mergeCell ref="A129:J129"/>
    <mergeCell ref="A120:J120"/>
    <mergeCell ref="A121:J121"/>
    <mergeCell ref="A119:J119"/>
    <mergeCell ref="A137:J137"/>
    <mergeCell ref="A242:J242"/>
    <mergeCell ref="A262:J262"/>
    <mergeCell ref="A234:J234"/>
    <mergeCell ref="A153:J153"/>
    <mergeCell ref="A145:J145"/>
    <mergeCell ref="A154:J154"/>
    <mergeCell ref="A155:J155"/>
    <mergeCell ref="A184:J184"/>
    <mergeCell ref="A223:J223"/>
    <mergeCell ref="A245:J245"/>
  </mergeCells>
  <phoneticPr fontId="0" type="noConversion"/>
  <printOptions horizontalCentered="1"/>
  <pageMargins left="0" right="0" top="0.39370078740157499" bottom="0" header="0.15748031496063" footer="0.196850393700787"/>
  <pageSetup paperSize="9" scale="41" orientation="landscape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P7"/>
  <sheetViews>
    <sheetView workbookViewId="0">
      <selection activeCell="K3" sqref="K3:L7"/>
    </sheetView>
  </sheetViews>
  <sheetFormatPr defaultColWidth="8.81640625" defaultRowHeight="12.5" x14ac:dyDescent="0.25"/>
  <cols>
    <col min="4" max="4" width="12.7265625" bestFit="1" customWidth="1"/>
    <col min="5" max="5" width="9.7265625" bestFit="1" customWidth="1"/>
    <col min="6" max="12" width="6.26953125" bestFit="1" customWidth="1"/>
    <col min="13" max="13" width="17.453125" bestFit="1" customWidth="1"/>
    <col min="14" max="16" width="16.453125" bestFit="1" customWidth="1"/>
  </cols>
  <sheetData>
    <row r="3" spans="2:16" x14ac:dyDescent="0.25">
      <c r="B3" s="167">
        <v>43053</v>
      </c>
      <c r="C3" s="167">
        <v>43055</v>
      </c>
      <c r="D3" t="s">
        <v>132</v>
      </c>
      <c r="E3" s="167">
        <v>43146</v>
      </c>
      <c r="F3" t="s">
        <v>130</v>
      </c>
      <c r="G3" s="168">
        <v>4.7500000000000001E-2</v>
      </c>
      <c r="H3" s="168">
        <v>4.87813E-2</v>
      </c>
      <c r="I3" s="168">
        <v>5.1999999999999998E-2</v>
      </c>
      <c r="J3" s="168">
        <v>4.7500000000000001E-2</v>
      </c>
      <c r="K3" s="168">
        <v>4.8269199999999998E-2</v>
      </c>
      <c r="L3" s="168">
        <v>4.8800000000000003E-2</v>
      </c>
      <c r="M3" s="169">
        <v>15000000000000</v>
      </c>
      <c r="N3" s="169">
        <v>3900000000000</v>
      </c>
      <c r="O3" s="169">
        <v>2600000000000</v>
      </c>
      <c r="P3" s="169">
        <v>2600000000000</v>
      </c>
    </row>
    <row r="4" spans="2:16" x14ac:dyDescent="0.25">
      <c r="C4" s="167">
        <v>43055</v>
      </c>
      <c r="D4" t="s">
        <v>133</v>
      </c>
      <c r="E4" s="167">
        <v>43419</v>
      </c>
      <c r="F4" t="s">
        <v>130</v>
      </c>
      <c r="G4" s="168">
        <v>5.1900000000000002E-2</v>
      </c>
      <c r="H4" s="168">
        <v>5.3297200000000003E-2</v>
      </c>
      <c r="I4" s="168">
        <v>5.5500000000000001E-2</v>
      </c>
      <c r="J4" s="168">
        <v>5.1900000000000002E-2</v>
      </c>
      <c r="K4" s="168">
        <v>5.253E-2</v>
      </c>
      <c r="L4" s="168">
        <v>5.3199999999999997E-2</v>
      </c>
      <c r="N4" s="169">
        <v>6000000000000</v>
      </c>
      <c r="O4" s="169">
        <v>5200000000000</v>
      </c>
      <c r="P4" s="169">
        <v>3000000000000</v>
      </c>
    </row>
    <row r="5" spans="2:16" x14ac:dyDescent="0.25">
      <c r="C5" s="167">
        <v>43055</v>
      </c>
      <c r="D5" t="s">
        <v>35</v>
      </c>
      <c r="E5" s="167">
        <v>44696</v>
      </c>
      <c r="F5" s="168">
        <v>7.0000000000000007E-2</v>
      </c>
      <c r="G5" s="168">
        <v>6.2700000000000006E-2</v>
      </c>
      <c r="H5" s="168">
        <v>6.3400300000000007E-2</v>
      </c>
      <c r="I5" s="168">
        <v>6.5000000000000002E-2</v>
      </c>
      <c r="J5" s="168">
        <v>6.2700000000000006E-2</v>
      </c>
      <c r="K5" s="168">
        <v>6.2915700000000005E-2</v>
      </c>
      <c r="L5" s="168">
        <v>6.3E-2</v>
      </c>
      <c r="N5" s="169">
        <v>9775500000000</v>
      </c>
      <c r="O5" s="169">
        <v>4250000000000</v>
      </c>
      <c r="P5" s="169">
        <v>2800000000000</v>
      </c>
    </row>
    <row r="6" spans="2:16" x14ac:dyDescent="0.25">
      <c r="C6" s="167">
        <v>43055</v>
      </c>
      <c r="D6" t="s">
        <v>43</v>
      </c>
      <c r="E6" s="167">
        <v>46522</v>
      </c>
      <c r="F6" s="168">
        <v>7.0000000000000007E-2</v>
      </c>
      <c r="G6" s="168">
        <v>6.5699999999999995E-2</v>
      </c>
      <c r="H6" s="168">
        <v>6.6803500000000002E-2</v>
      </c>
      <c r="I6" s="168">
        <v>6.8599999999999994E-2</v>
      </c>
      <c r="J6" s="168">
        <v>6.5699999999999995E-2</v>
      </c>
      <c r="K6" s="168">
        <v>6.6193399999999999E-2</v>
      </c>
      <c r="L6" s="168">
        <v>6.6500000000000004E-2</v>
      </c>
      <c r="N6" s="169">
        <v>9487500000000</v>
      </c>
      <c r="O6" s="169">
        <v>7150000000000</v>
      </c>
      <c r="P6" s="169">
        <v>4550000000000</v>
      </c>
    </row>
    <row r="7" spans="2:16" x14ac:dyDescent="0.25">
      <c r="C7" s="167">
        <v>43055</v>
      </c>
      <c r="D7" t="s">
        <v>131</v>
      </c>
      <c r="E7" s="167">
        <v>50540</v>
      </c>
      <c r="F7" s="168">
        <v>7.4999999999999997E-2</v>
      </c>
      <c r="G7" s="168">
        <v>7.2400000000000006E-2</v>
      </c>
      <c r="H7" s="168">
        <v>7.2925400000000001E-2</v>
      </c>
      <c r="I7" s="168">
        <v>7.4499999999999997E-2</v>
      </c>
      <c r="J7" s="168">
        <v>7.2400000000000006E-2</v>
      </c>
      <c r="K7" s="168">
        <v>7.2629799999999994E-2</v>
      </c>
      <c r="L7" s="168">
        <v>7.2999999999999995E-2</v>
      </c>
      <c r="N7" s="169">
        <v>9760500000000</v>
      </c>
      <c r="O7" s="169">
        <v>7300000000000</v>
      </c>
      <c r="P7" s="169">
        <v>6450000000000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" ma:contentTypeID="0x0101005813173C3A8CFD4EA7D82D1D593F81CD" ma:contentTypeVersion="15" ma:contentTypeDescription="Buat sebuah dokumen baru." ma:contentTypeScope="" ma:versionID="9d3fa71393b9b1b3db07fc6ee8bbc3ff">
  <xsd:schema xmlns:xsd="http://www.w3.org/2001/XMLSchema" xmlns:xs="http://www.w3.org/2001/XMLSchema" xmlns:p="http://schemas.microsoft.com/office/2006/metadata/properties" xmlns:ns2="3cdbb211-5556-4702-af5b-9f4530d77cc2" xmlns:ns3="4618081e-053c-43f9-96b2-23a82a8ed040" targetNamespace="http://schemas.microsoft.com/office/2006/metadata/properties" ma:root="true" ma:fieldsID="04fec85a0aeccb6d77107f4ca4f5ea69" ns2:_="" ns3:_="">
    <xsd:import namespace="3cdbb211-5556-4702-af5b-9f4530d77cc2"/>
    <xsd:import namespace="4618081e-053c-43f9-96b2-23a82a8ed0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dbb211-5556-4702-af5b-9f4530d77c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 Gambar" ma:readOnly="false" ma:fieldId="{5cf76f15-5ced-4ddc-b409-7134ff3c332f}" ma:taxonomyMulti="true" ma:sspId="13a81aea-b39a-4503-b357-deb112bd17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18081e-053c-43f9-96b2-23a82a8ed04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ibagikan Denga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ibagikan Dengan Detail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a9575d94-9003-4699-9254-31988c9e9664}" ma:internalName="TaxCatchAll" ma:showField="CatchAllData" ma:web="4618081e-053c-43f9-96b2-23a82a8ed0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e Isi"/>
        <xsd:element ref="dc:title" minOccurs="0" maxOccurs="1" ma:index="4" ma:displayName="Judu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47E543-3169-4E63-AE48-F752665942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dbb211-5556-4702-af5b-9f4530d77cc2"/>
    <ds:schemaRef ds:uri="4618081e-053c-43f9-96b2-23a82a8ed0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F13A87-5A08-42B9-A365-EBC2925CDA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Contoh_SBN</vt:lpstr>
      <vt:lpstr>SBN</vt:lpstr>
      <vt:lpstr>Sheet1</vt:lpstr>
      <vt:lpstr>Contoh_SBN!Print_Area</vt:lpstr>
      <vt:lpstr>Contoh_SBN!Print_Titles</vt:lpstr>
      <vt:lpstr>SBN!Print_Titles</vt:lpstr>
    </vt:vector>
  </TitlesOfParts>
  <Company>dmo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DMO</dc:creator>
  <cp:lastModifiedBy>Aisya Rahmawati</cp:lastModifiedBy>
  <cp:lastPrinted>2020-03-18T18:47:42Z</cp:lastPrinted>
  <dcterms:created xsi:type="dcterms:W3CDTF">2010-01-14T01:56:27Z</dcterms:created>
  <dcterms:modified xsi:type="dcterms:W3CDTF">2024-06-24T01:27:00Z</dcterms:modified>
</cp:coreProperties>
</file>