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PHI-PP SBSN\0. Master Data\"/>
    </mc:Choice>
  </mc:AlternateContent>
  <bookViews>
    <workbookView xWindow="0" yWindow="0" windowWidth="24000" windowHeight="9435" tabRatio="715" firstSheet="1" activeTab="1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Area" localSheetId="1">SBN!$A$1:$M$38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52511"/>
</workbook>
</file>

<file path=xl/calcChain.xml><?xml version="1.0" encoding="utf-8"?>
<calcChain xmlns="http://schemas.openxmlformats.org/spreadsheetml/2006/main">
  <c r="L447" i="1" l="1"/>
  <c r="K447" i="1"/>
  <c r="L446" i="1"/>
  <c r="K446" i="1"/>
  <c r="L445" i="1"/>
  <c r="K445" i="1"/>
  <c r="M444" i="1"/>
  <c r="L442" i="1" l="1"/>
  <c r="K442" i="1"/>
  <c r="L439" i="1"/>
  <c r="K439" i="1"/>
  <c r="M438" i="1"/>
  <c r="M437" i="1"/>
  <c r="M436" i="1"/>
  <c r="M435" i="1"/>
  <c r="M434" i="1"/>
  <c r="M433" i="1"/>
  <c r="L441" i="1" l="1"/>
  <c r="K441" i="1"/>
  <c r="M440" i="1"/>
  <c r="L432" i="1" l="1"/>
  <c r="K432" i="1"/>
  <c r="M431" i="1"/>
  <c r="K429" i="1" l="1"/>
  <c r="K430" i="1" s="1"/>
  <c r="L429" i="1"/>
  <c r="L430" i="1" s="1"/>
  <c r="M426" i="1"/>
  <c r="M425" i="1"/>
  <c r="L427" i="1"/>
  <c r="K427" i="1"/>
  <c r="M424" i="1"/>
  <c r="M423" i="1"/>
  <c r="M422" i="1"/>
  <c r="M421" i="1"/>
  <c r="M429" i="1" l="1"/>
  <c r="L420" i="1"/>
  <c r="K420" i="1"/>
  <c r="M419" i="1"/>
  <c r="M418" i="1"/>
  <c r="M417" i="1"/>
  <c r="M416" i="1"/>
  <c r="M415" i="1"/>
  <c r="M414" i="1"/>
  <c r="L413" i="1" l="1"/>
  <c r="K413" i="1"/>
  <c r="M412" i="1"/>
  <c r="M411" i="1"/>
  <c r="L410" i="1" l="1"/>
  <c r="K410" i="1"/>
  <c r="M409" i="1"/>
  <c r="L408" i="1" l="1"/>
  <c r="K408" i="1"/>
  <c r="M407" i="1"/>
  <c r="L406" i="1" l="1"/>
  <c r="K406" i="1"/>
  <c r="M405" i="1"/>
  <c r="M404" i="1"/>
  <c r="M403" i="1"/>
  <c r="M402" i="1"/>
  <c r="M401" i="1"/>
  <c r="M400" i="1"/>
  <c r="L340" i="1" l="1"/>
  <c r="K340" i="1"/>
  <c r="M339" i="1"/>
  <c r="L397" i="1"/>
  <c r="K397" i="1"/>
  <c r="M396" i="1"/>
  <c r="M393" i="1" l="1"/>
  <c r="L395" i="1"/>
  <c r="K395" i="1"/>
  <c r="M394" i="1"/>
  <c r="M392" i="1"/>
  <c r="M391" i="1"/>
  <c r="M390" i="1"/>
  <c r="M389" i="1"/>
  <c r="M388" i="1"/>
  <c r="L387" i="1" l="1"/>
  <c r="K387" i="1"/>
  <c r="M386" i="1"/>
  <c r="L385" i="1" l="1"/>
  <c r="K385" i="1"/>
  <c r="M384" i="1"/>
  <c r="M383" i="1"/>
  <c r="M382" i="1"/>
  <c r="M381" i="1"/>
  <c r="M380" i="1"/>
  <c r="M379" i="1"/>
  <c r="L378" i="1"/>
  <c r="K378" i="1"/>
  <c r="M377" i="1"/>
  <c r="K376" i="1" l="1"/>
  <c r="L376" i="1"/>
  <c r="M375" i="1"/>
  <c r="M374" i="1"/>
  <c r="M373" i="1"/>
  <c r="M372" i="1"/>
  <c r="M371" i="1"/>
  <c r="M370" i="1"/>
  <c r="L369" i="1" l="1"/>
  <c r="K369" i="1"/>
  <c r="M368" i="1"/>
  <c r="M363" i="1" l="1"/>
  <c r="L367" i="1"/>
  <c r="L398" i="1" s="1"/>
  <c r="K367" i="1"/>
  <c r="K398" i="1" s="1"/>
  <c r="M366" i="1"/>
  <c r="M365" i="1"/>
  <c r="M364" i="1"/>
  <c r="M362" i="1"/>
  <c r="M361" i="1"/>
  <c r="L358" i="1" l="1"/>
  <c r="K358" i="1"/>
  <c r="M357" i="1"/>
  <c r="M356" i="1"/>
  <c r="M355" i="1"/>
  <c r="M354" i="1"/>
  <c r="M353" i="1"/>
  <c r="M352" i="1"/>
  <c r="L351" i="1" l="1"/>
  <c r="K351" i="1"/>
  <c r="M350" i="1"/>
  <c r="L349" i="1" l="1"/>
  <c r="K349" i="1"/>
  <c r="M348" i="1"/>
  <c r="M344" i="1" l="1"/>
  <c r="M345" i="1"/>
  <c r="M343" i="1"/>
  <c r="M342" i="1"/>
  <c r="L347" i="1"/>
  <c r="K347" i="1"/>
  <c r="M346" i="1"/>
  <c r="M341" i="1"/>
  <c r="K338" i="1" l="1"/>
  <c r="M336" i="1"/>
  <c r="L338" i="1"/>
  <c r="M337" i="1"/>
  <c r="M335" i="1"/>
  <c r="M334" i="1"/>
  <c r="M333" i="1"/>
  <c r="M332" i="1"/>
  <c r="M331" i="1"/>
  <c r="L330" i="1" l="1"/>
  <c r="K330" i="1"/>
  <c r="M329" i="1"/>
  <c r="M327" i="1" l="1"/>
  <c r="M326" i="1"/>
  <c r="L328" i="1"/>
  <c r="L359" i="1" s="1"/>
  <c r="K328" i="1"/>
  <c r="K359" i="1" s="1"/>
  <c r="M325" i="1"/>
  <c r="M324" i="1"/>
  <c r="M323" i="1"/>
  <c r="M322" i="1"/>
  <c r="K306" i="1" l="1"/>
  <c r="L315" i="1"/>
  <c r="K315" i="1"/>
  <c r="M314" i="1"/>
  <c r="M313" i="1"/>
  <c r="M312" i="1"/>
  <c r="M311" i="1"/>
  <c r="M310" i="1"/>
  <c r="M309" i="1"/>
  <c r="L308" i="1"/>
  <c r="K308" i="1"/>
  <c r="M307" i="1"/>
  <c r="L306" i="1"/>
  <c r="M305" i="1"/>
  <c r="L304" i="1"/>
  <c r="K304" i="1"/>
  <c r="M303" i="1"/>
  <c r="L319" i="1" l="1"/>
  <c r="K319" i="1"/>
  <c r="M318" i="1"/>
  <c r="L317" i="1"/>
  <c r="K317" i="1"/>
  <c r="M316" i="1"/>
  <c r="L302" i="1" l="1"/>
  <c r="K302" i="1"/>
  <c r="M301" i="1"/>
  <c r="L300" i="1" l="1"/>
  <c r="K300" i="1"/>
  <c r="M299" i="1"/>
  <c r="M296" i="1" l="1"/>
  <c r="M297" i="1"/>
  <c r="L298" i="1"/>
  <c r="K298" i="1"/>
  <c r="M295" i="1"/>
  <c r="M294" i="1"/>
  <c r="M293" i="1"/>
  <c r="M292" i="1"/>
  <c r="M286" i="1" l="1"/>
  <c r="K289" i="1"/>
  <c r="L289" i="1"/>
  <c r="L282" i="1"/>
  <c r="K282" i="1"/>
  <c r="M281" i="1"/>
  <c r="L291" i="1" l="1"/>
  <c r="K291" i="1"/>
  <c r="M290" i="1"/>
  <c r="M288" i="1"/>
  <c r="M287" i="1"/>
  <c r="M285" i="1"/>
  <c r="M284" i="1"/>
  <c r="M283" i="1"/>
  <c r="M279" i="1" l="1"/>
  <c r="L280" i="1"/>
  <c r="K280" i="1"/>
  <c r="L278" i="1"/>
  <c r="K278" i="1"/>
  <c r="M277" i="1"/>
  <c r="L276" i="1"/>
  <c r="K276" i="1"/>
  <c r="M275" i="1"/>
  <c r="M272" i="1" l="1"/>
  <c r="L274" i="1"/>
  <c r="K274" i="1"/>
  <c r="M273" i="1"/>
  <c r="M271" i="1"/>
  <c r="M270" i="1"/>
  <c r="M269" i="1"/>
  <c r="M268" i="1"/>
  <c r="L267" i="1" l="1"/>
  <c r="L320" i="1" s="1"/>
  <c r="K267" i="1"/>
  <c r="K320" i="1" s="1"/>
  <c r="M266" i="1"/>
  <c r="M265" i="1"/>
  <c r="M264" i="1"/>
  <c r="M263" i="1"/>
  <c r="M262" i="1"/>
  <c r="L248" i="1"/>
  <c r="K248" i="1"/>
  <c r="M247" i="1"/>
  <c r="L259" i="1" l="1"/>
  <c r="K259" i="1"/>
  <c r="M258" i="1"/>
  <c r="L257" i="1"/>
  <c r="K257" i="1"/>
  <c r="M256" i="1"/>
  <c r="M254" i="1" l="1"/>
  <c r="L255" i="1"/>
  <c r="K255" i="1"/>
  <c r="M253" i="1"/>
  <c r="M252" i="1"/>
  <c r="M251" i="1"/>
  <c r="M250" i="1"/>
  <c r="M249" i="1"/>
  <c r="L246" i="1" l="1"/>
  <c r="K246" i="1"/>
  <c r="M245" i="1"/>
  <c r="M244" i="1"/>
  <c r="M243" i="1"/>
  <c r="M242" i="1"/>
  <c r="M241" i="1"/>
  <c r="M235" i="1" l="1"/>
  <c r="L240" i="1"/>
  <c r="K240" i="1"/>
  <c r="M239" i="1"/>
  <c r="M238" i="1"/>
  <c r="M237" i="1"/>
  <c r="M236" i="1"/>
  <c r="M234" i="1"/>
  <c r="L192" i="1" l="1"/>
  <c r="L190" i="1"/>
  <c r="L188" i="1"/>
  <c r="L186" i="1"/>
  <c r="K192" i="1"/>
  <c r="K190" i="1"/>
  <c r="K188" i="1"/>
  <c r="K186" i="1"/>
  <c r="L233" i="1" l="1"/>
  <c r="K233" i="1"/>
  <c r="M232" i="1"/>
  <c r="M231" i="1"/>
  <c r="M230" i="1"/>
  <c r="M229" i="1"/>
  <c r="M228" i="1"/>
  <c r="K227" i="1" l="1"/>
  <c r="K260" i="1" s="1"/>
  <c r="L227" i="1"/>
  <c r="L260" i="1" s="1"/>
  <c r="M226" i="1"/>
  <c r="L223" i="1" l="1"/>
  <c r="K223" i="1"/>
  <c r="M222" i="1"/>
  <c r="M221" i="1"/>
  <c r="M220" i="1"/>
  <c r="M219" i="1"/>
  <c r="M218" i="1"/>
  <c r="M217" i="1"/>
  <c r="M215" i="1" l="1"/>
  <c r="M214" i="1"/>
  <c r="M213" i="1"/>
  <c r="M212" i="1"/>
  <c r="M211" i="1"/>
  <c r="M210" i="1"/>
  <c r="L216" i="1"/>
  <c r="K216" i="1"/>
  <c r="L209" i="1" l="1"/>
  <c r="K209" i="1"/>
  <c r="M208" i="1"/>
  <c r="M207" i="1"/>
  <c r="K193" i="1"/>
  <c r="I191" i="1"/>
  <c r="I189" i="1"/>
  <c r="I187" i="1"/>
  <c r="I185" i="1"/>
  <c r="L193" i="1" l="1"/>
  <c r="M190" i="1"/>
  <c r="M188" i="1"/>
  <c r="M192" i="1" l="1"/>
  <c r="M186" i="1"/>
  <c r="M15" i="1" l="1"/>
  <c r="M14" i="1"/>
  <c r="M13" i="1"/>
  <c r="M12" i="1"/>
  <c r="M11" i="1"/>
  <c r="M22" i="1"/>
  <c r="M21" i="1"/>
  <c r="M20" i="1"/>
  <c r="M19" i="1"/>
  <c r="M18" i="1"/>
  <c r="M17" i="1"/>
  <c r="M28" i="1"/>
  <c r="M27" i="1"/>
  <c r="M26" i="1"/>
  <c r="M25" i="1"/>
  <c r="M24" i="1"/>
  <c r="M35" i="1"/>
  <c r="M34" i="1"/>
  <c r="M33" i="1"/>
  <c r="M32" i="1"/>
  <c r="M31" i="1"/>
  <c r="M30" i="1"/>
  <c r="M43" i="1"/>
  <c r="M42" i="1"/>
  <c r="M41" i="1"/>
  <c r="M40" i="1"/>
  <c r="M39" i="1"/>
  <c r="M50" i="1"/>
  <c r="M49" i="1"/>
  <c r="M48" i="1"/>
  <c r="M47" i="1"/>
  <c r="M46" i="1"/>
  <c r="M45" i="1"/>
  <c r="M56" i="1"/>
  <c r="M55" i="1"/>
  <c r="M54" i="1"/>
  <c r="M53" i="1"/>
  <c r="M52" i="1"/>
  <c r="M59" i="1"/>
  <c r="M58" i="1"/>
  <c r="M66" i="1"/>
  <c r="M65" i="1"/>
  <c r="M64" i="1"/>
  <c r="M63" i="1"/>
  <c r="M62" i="1"/>
  <c r="M61" i="1"/>
  <c r="M68" i="1"/>
  <c r="M71" i="1"/>
  <c r="M70" i="1"/>
  <c r="M79" i="1"/>
  <c r="M78" i="1"/>
  <c r="M77" i="1"/>
  <c r="M76" i="1"/>
  <c r="M75" i="1"/>
  <c r="M91" i="1"/>
  <c r="M90" i="1"/>
  <c r="M89" i="1"/>
  <c r="M88" i="1"/>
  <c r="M87" i="1"/>
  <c r="M86" i="1"/>
  <c r="M93" i="1"/>
  <c r="M100" i="1"/>
  <c r="M99" i="1"/>
  <c r="M98" i="1"/>
  <c r="M97" i="1"/>
  <c r="M96" i="1"/>
  <c r="M95" i="1"/>
  <c r="M102" i="1"/>
  <c r="M109" i="1"/>
  <c r="M108" i="1"/>
  <c r="M107" i="1"/>
  <c r="M106" i="1"/>
  <c r="M105" i="1"/>
  <c r="M104" i="1"/>
  <c r="M115" i="1"/>
  <c r="M114" i="1"/>
  <c r="M113" i="1"/>
  <c r="M112" i="1"/>
  <c r="M111" i="1"/>
  <c r="M125" i="1"/>
  <c r="M124" i="1"/>
  <c r="M123" i="1"/>
  <c r="M122" i="1"/>
  <c r="M121" i="1"/>
  <c r="M120" i="1"/>
  <c r="M119" i="1"/>
  <c r="M131" i="1"/>
  <c r="M130" i="1"/>
  <c r="M129" i="1"/>
  <c r="M128" i="1"/>
  <c r="M127" i="1"/>
  <c r="M139" i="1"/>
  <c r="M138" i="1"/>
  <c r="M137" i="1"/>
  <c r="M136" i="1"/>
  <c r="M135" i="1"/>
  <c r="M134" i="1"/>
  <c r="M133" i="1"/>
  <c r="M150" i="1"/>
  <c r="M149" i="1"/>
  <c r="M148" i="1"/>
  <c r="M147" i="1"/>
  <c r="M146" i="1"/>
  <c r="M157" i="1"/>
  <c r="M156" i="1"/>
  <c r="M155" i="1"/>
  <c r="M154" i="1"/>
  <c r="M160" i="1"/>
  <c r="M159" i="1"/>
  <c r="M158" i="1"/>
  <c r="M166" i="1"/>
  <c r="M165" i="1"/>
  <c r="M164" i="1"/>
  <c r="M163" i="1"/>
  <c r="M162" i="1"/>
  <c r="M175" i="1"/>
  <c r="M174" i="1"/>
  <c r="M173" i="1"/>
  <c r="M172" i="1"/>
  <c r="M171" i="1"/>
  <c r="M170" i="1"/>
  <c r="M181" i="1"/>
  <c r="M180" i="1"/>
  <c r="M179" i="1"/>
  <c r="M178" i="1"/>
  <c r="M177" i="1"/>
  <c r="M183" i="1"/>
  <c r="M194" i="1"/>
  <c r="M205" i="1"/>
  <c r="M203" i="1"/>
  <c r="M202" i="1"/>
  <c r="M201" i="1"/>
  <c r="M200" i="1"/>
  <c r="M199" i="1"/>
  <c r="M198" i="1"/>
  <c r="L206" i="1"/>
  <c r="K206" i="1"/>
  <c r="L204" i="1"/>
  <c r="K204" i="1"/>
  <c r="K224" i="1" l="1"/>
  <c r="L224" i="1"/>
  <c r="L184" i="1"/>
  <c r="K184" i="1"/>
  <c r="L195" i="1" l="1"/>
  <c r="K195" i="1"/>
  <c r="L182" i="1"/>
  <c r="K182" i="1"/>
  <c r="K142" i="1"/>
  <c r="L142" i="1"/>
  <c r="M142" i="1" l="1"/>
  <c r="L176" i="1"/>
  <c r="K176" i="1"/>
  <c r="L167" i="1" l="1"/>
  <c r="K167" i="1"/>
  <c r="L169" i="1" l="1"/>
  <c r="K169" i="1"/>
  <c r="M168" i="1"/>
  <c r="L161" i="1" l="1"/>
  <c r="L196" i="1" s="1"/>
  <c r="K161" i="1"/>
  <c r="K196" i="1" s="1"/>
  <c r="L144" i="1" l="1"/>
  <c r="K144" i="1"/>
  <c r="K151" i="1"/>
  <c r="L151" i="1"/>
  <c r="M144" i="1" l="1"/>
  <c r="K145" i="1"/>
  <c r="L145" i="1"/>
  <c r="L140" i="1"/>
  <c r="K140" i="1"/>
  <c r="K126" i="1"/>
  <c r="L126" i="1"/>
  <c r="K9" i="1" l="1"/>
  <c r="L9" i="1"/>
  <c r="M9" i="1" s="1"/>
  <c r="L7" i="1"/>
  <c r="K7" i="1"/>
  <c r="K5" i="1"/>
  <c r="L5" i="1"/>
  <c r="M5" i="1" s="1"/>
  <c r="M7" i="1" l="1"/>
  <c r="L132" i="1"/>
  <c r="L152" i="1" s="1"/>
  <c r="K132" i="1"/>
  <c r="K152" i="1" s="1"/>
  <c r="L116" i="1" l="1"/>
  <c r="K116" i="1"/>
  <c r="L110" i="1" l="1"/>
  <c r="K110" i="1"/>
  <c r="L103" i="1" l="1"/>
  <c r="K103" i="1"/>
  <c r="L101" i="1" l="1"/>
  <c r="K101" i="1"/>
  <c r="L94" i="1" l="1"/>
  <c r="K94" i="1"/>
  <c r="K92" i="1" l="1"/>
  <c r="L92" i="1"/>
  <c r="L84" i="1" l="1"/>
  <c r="L82" i="1"/>
  <c r="K84" i="1"/>
  <c r="K82" i="1"/>
  <c r="M82" i="1" l="1"/>
  <c r="M84" i="1"/>
  <c r="L85" i="1"/>
  <c r="K85" i="1"/>
  <c r="L80" i="1" l="1"/>
  <c r="L117" i="1" s="1"/>
  <c r="K80" i="1"/>
  <c r="K117" i="1" s="1"/>
  <c r="L72" i="1" l="1"/>
  <c r="K72" i="1"/>
  <c r="L69" i="1" l="1"/>
  <c r="K69" i="1"/>
  <c r="L67" i="1" l="1"/>
  <c r="K67" i="1"/>
  <c r="L60" i="1" l="1"/>
  <c r="K60" i="1"/>
  <c r="L57" i="1" l="1"/>
  <c r="K57" i="1"/>
  <c r="L51" i="1" l="1"/>
  <c r="K51" i="1"/>
  <c r="L44" i="1" l="1"/>
  <c r="L73" i="1" s="1"/>
  <c r="K44" i="1"/>
  <c r="K73" i="1" s="1"/>
  <c r="L36" i="1" l="1"/>
  <c r="K36" i="1"/>
  <c r="L29" i="1" l="1"/>
  <c r="K29" i="1"/>
  <c r="L23" i="1"/>
  <c r="K23" i="1"/>
  <c r="L10" i="1" l="1"/>
  <c r="K10" i="1"/>
  <c r="L16" i="1" l="1"/>
  <c r="K16" i="1"/>
  <c r="K37" i="1" l="1"/>
  <c r="K38" i="1"/>
  <c r="K74" i="1" s="1"/>
  <c r="K153" i="1" s="1"/>
  <c r="K197" i="1" s="1"/>
  <c r="K225" i="1" s="1"/>
  <c r="K261" i="1" s="1"/>
  <c r="K321" i="1" s="1"/>
  <c r="K360" i="1" s="1"/>
  <c r="K399" i="1" s="1"/>
  <c r="K443" i="1" s="1"/>
  <c r="L37" i="1"/>
  <c r="L38" i="1"/>
  <c r="L74" i="1" s="1"/>
  <c r="K118" i="1" l="1"/>
  <c r="L118" i="1"/>
  <c r="L153" i="1"/>
  <c r="L197" i="1" s="1"/>
  <c r="L225" i="1" s="1"/>
  <c r="L261" i="1" s="1"/>
  <c r="L321" i="1" s="1"/>
  <c r="L360" i="1" s="1"/>
  <c r="L399" i="1" s="1"/>
  <c r="L443" i="1" s="1"/>
  <c r="L249" i="5"/>
  <c r="O234" i="5" l="1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/>
  <c r="R48" i="5"/>
  <c r="R63" i="5"/>
  <c r="R31" i="5" l="1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<sst xmlns="http://schemas.openxmlformats.org/spreadsheetml/2006/main" count="946" uniqueCount="263">
  <si>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</si>
  <si>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</si>
  <si>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</si>
  <si>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</si>
  <si>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</si>
  <si>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</si>
  <si>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</si>
  <si>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</si>
  <si>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</si>
  <si>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</si>
  <si>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</si>
  <si>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</si>
  <si>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</si>
  <si>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</si>
  <si>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</si>
  <si>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</si>
  <si>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</si>
  <si>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</si>
  <si>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</si>
  <si>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</si>
  <si>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</si>
  <si>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</si>
  <si>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</si>
  <si>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</si>
  <si>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</si>
  <si>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</si>
  <si>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</si>
  <si>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</si>
  <si>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</si>
  <si>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</si>
  <si>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</si>
  <si>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</si>
  <si>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</si>
  <si>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</si>
  <si>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</si>
  <si>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</si>
  <si>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</si>
  <si>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</si>
  <si>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</si>
  <si>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</si>
  <si>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</si>
  <si>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</si>
  <si>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</si>
  <si>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</si>
  <si>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</si>
  <si>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</si>
  <si>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</si>
  <si>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</si>
  <si>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</si>
  <si>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</si>
  <si>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</si>
  <si>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</si>
  <si>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</si>
  <si>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</si>
  <si>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</si>
  <si>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</si>
  <si>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</si>
  <si>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</si>
  <si>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</si>
  <si>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</si>
  <si>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</si>
  <si>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</si>
  <si>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</si>
  <si>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</si>
  <si>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</si>
  <si>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</si>
  <si>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</si>
  <si>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</si>
  <si>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</si>
  <si>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</si>
  <si>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</si>
  <si>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</si>
  <si>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</si>
  <si>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</si>
  <si>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</si>
  <si>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</si>
  <si>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</si>
  <si>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</si>
  <si>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</si>
  <si>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</si>
  <si>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</si>
  <si>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</si>
  <si>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</si>
  <si>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</si>
  <si>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</si>
  <si>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</si>
  <si>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</si>
  <si>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</si>
  <si>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</si>
  <si>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</si>
  <si>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</si>
  <si>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</si>
  <si>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</si>
  <si>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</si>
  <si>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</si>
  <si>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</si>
  <si>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</si>
  <si>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</si>
  <si>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</si>
  <si>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</si>
  <si>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</si>
  <si>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</si>
  <si>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</si>
  <si>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</si>
  <si>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</si>
  <si>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</si>
  <si>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</si>
  <si>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</si>
  <si>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</si>
  <si>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</si>
  <si>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</si>
  <si>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</si>
  <si>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</si>
  <si>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</si>
  <si>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</si>
  <si>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</si>
  <si>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</si>
  <si>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</si>
  <si>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</si>
  <si>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</si>
  <si>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</si>
  <si>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</si>
  <si>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USD1.250.000</t>
  </si>
  <si>
    <t>Bookbuilding</t>
  </si>
  <si>
    <t>Lelang</t>
  </si>
  <si>
    <r>
      <t>T o t a l (</t>
    </r>
    <r>
      <rPr>
        <b/>
        <i/>
        <sz val="8"/>
        <rFont val="Arial"/>
        <family val="2"/>
      </rPr>
      <t>Pre-funding</t>
    </r>
    <r>
      <rPr>
        <b/>
        <sz val="8"/>
        <rFont val="Arial"/>
        <family val="2"/>
      </rPr>
      <t>) (1)</t>
    </r>
  </si>
  <si>
    <t>Tanggal Lelang/
Pricing Date</t>
  </si>
  <si>
    <t>Tanggal Setelmen/Settlement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</si>
  <si>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</si>
  <si>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</si>
  <si>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</si>
  <si>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</si>
  <si>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</si>
  <si>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Total Penawaran Diterima/ Awarded Bid</t>
  </si>
  <si>
    <t>Diskonto</t>
  </si>
  <si>
    <t>Nominal Dalam Juta Rupiah</t>
  </si>
  <si>
    <t>USD1.000.000</t>
  </si>
  <si>
    <t>-</t>
  </si>
  <si>
    <t>FR0075</t>
  </si>
  <si>
    <t>SPN03180215</t>
  </si>
  <si>
    <t>SPN12181115</t>
  </si>
  <si>
    <t>Ringkasan Hasil Penerbitan Surat Berharga Negara / Summary Result of Government Securities Issuance - Tahun 2018 (juta rupiah)</t>
  </si>
  <si>
    <t>SPN03180404</t>
  </si>
  <si>
    <t>SPN12190104</t>
  </si>
  <si>
    <t>RI0123</t>
  </si>
  <si>
    <t>RI0128</t>
  </si>
  <si>
    <t>RI0148</t>
  </si>
  <si>
    <t>.</t>
  </si>
  <si>
    <t>USD1.750.000</t>
  </si>
  <si>
    <t>SPNS10072018</t>
  </si>
  <si>
    <t>PBS016</t>
  </si>
  <si>
    <t>PBS017</t>
  </si>
  <si>
    <t>PBS012</t>
  </si>
  <si>
    <t>G r a n d   T o t a l   b u l a n   J a n u a r i   2 0 1 8</t>
  </si>
  <si>
    <t>SPN03180417</t>
  </si>
  <si>
    <t>G r a n d   T o t a l   s . d .   25   J a n u a r i   2 0 1 8</t>
  </si>
  <si>
    <t>SPN03180430</t>
  </si>
  <si>
    <t>SPN12190131</t>
  </si>
  <si>
    <t>G r a n d   T o t a l   b u l a n   F e b r u a r i  2 0 1 8</t>
  </si>
  <si>
    <t>SPNS07082018</t>
  </si>
  <si>
    <t>Private Placement</t>
  </si>
  <si>
    <t>PBS014</t>
  </si>
  <si>
    <t>PBS011</t>
  </si>
  <si>
    <t>SPN03180514</t>
  </si>
  <si>
    <t>SPN12190214</t>
  </si>
  <si>
    <t>PBS015</t>
  </si>
  <si>
    <t>G r a n d   T o t a l   s . d .   2 8   F e b r u a r i   2 0 1 8</t>
  </si>
  <si>
    <t>SPN03180528</t>
  </si>
  <si>
    <t>G r a n d   T o t a l   b u l a n   M a r e t  2 0 1 8</t>
  </si>
  <si>
    <t>SNI0323</t>
  </si>
  <si>
    <t>SNI0328</t>
  </si>
  <si>
    <t>SPNS07092018</t>
  </si>
  <si>
    <t>PBS013</t>
  </si>
  <si>
    <t>SPN03180614</t>
  </si>
  <si>
    <t>SPN12190314</t>
  </si>
  <si>
    <t>FR0076</t>
  </si>
  <si>
    <t>SR-010</t>
  </si>
  <si>
    <t>SPN03180628</t>
  </si>
  <si>
    <t>G r a n d   T o t a l   s . d .   2 9   M a r e t   2 0 1 8</t>
  </si>
  <si>
    <t>SPNS04102018</t>
  </si>
  <si>
    <t>G r a n d   T o t a l   b u l a n   A p r i l  2 0 1 8</t>
  </si>
  <si>
    <t>SPN12180712</t>
  </si>
  <si>
    <t>SPN12190411</t>
  </si>
  <si>
    <t>SPN03180725</t>
  </si>
  <si>
    <t>RIEUR0425</t>
  </si>
  <si>
    <t>RI0428</t>
  </si>
  <si>
    <t>EUR1.000.000</t>
  </si>
  <si>
    <t>G r a n d   T o t a l   b u l a n   M e i  2 0 1 8</t>
  </si>
  <si>
    <t>SPNS03112018</t>
  </si>
  <si>
    <t>SPN12180809</t>
  </si>
  <si>
    <t>SPN12190510</t>
  </si>
  <si>
    <t>G r a n d   T o t a l   s . d .   2 6   A p r i l   2 0 1 8</t>
  </si>
  <si>
    <t xml:space="preserve">SPN03180823 </t>
  </si>
  <si>
    <t>G r a n d   T o t a l   s . d .   3 1   M e i   2 0 1 8</t>
  </si>
  <si>
    <t>PBS018</t>
  </si>
  <si>
    <t>G r a n d   T o t a l   b u l a n   J u n i  2 0 1 8</t>
  </si>
  <si>
    <t>SPNS01122018</t>
  </si>
  <si>
    <t>RIJPY0521</t>
  </si>
  <si>
    <t>RIJPY0523</t>
  </si>
  <si>
    <t>RIJPY0525</t>
  </si>
  <si>
    <t>RIJPY0528</t>
  </si>
  <si>
    <t>JPY49.000.000.000</t>
  </si>
  <si>
    <t>JPY39.000.000.000</t>
  </si>
  <si>
    <t>JPY3.500.000.000</t>
  </si>
  <si>
    <t>JPY8.500.000.000</t>
  </si>
  <si>
    <t>FR0070</t>
  </si>
  <si>
    <t>SPN12180906</t>
  </si>
  <si>
    <t>SPN12190606</t>
  </si>
  <si>
    <t>G r a n d   T o t a l   s . d .   2 8   J u n i   2 0 1 8</t>
  </si>
  <si>
    <t>G r a n d   T o t a l   b u l a n   J u l i  2 0 1 8</t>
  </si>
  <si>
    <t>SPN12181004</t>
  </si>
  <si>
    <t>SPN12190704</t>
  </si>
  <si>
    <t>SPNS11012019</t>
  </si>
  <si>
    <t>SPNS11042019</t>
  </si>
  <si>
    <t xml:space="preserve">SPN03181018 </t>
  </si>
  <si>
    <t>SPN03181101</t>
  </si>
  <si>
    <t>SPN12190801</t>
  </si>
  <si>
    <t>G r a n d   T o t a l   b u l a n   A g u s t u s  2 0 1 8</t>
  </si>
  <si>
    <t>G r a n d   T o t a l   s . d .   2 7   J u l i  2 0 1 8</t>
  </si>
  <si>
    <t>SPNS08022019</t>
  </si>
  <si>
    <t>SPNS08052019</t>
  </si>
  <si>
    <t>FR0074</t>
  </si>
  <si>
    <t>PBS005</t>
  </si>
  <si>
    <t>PBSNT001</t>
  </si>
  <si>
    <t>G r a n d   T o t a l   s . d .   3 0   A g u s t u s   2 0 1 8</t>
  </si>
  <si>
    <t>SPN03181129</t>
  </si>
  <si>
    <t>SPN12190829</t>
  </si>
  <si>
    <t>FRNT0001</t>
  </si>
  <si>
    <t>FR0072</t>
  </si>
  <si>
    <t>SPNS05032019</t>
  </si>
  <si>
    <t>SPNS05062019</t>
  </si>
  <si>
    <t>G r a n d   T o t a l   b u l a n   S e p t e m b e r   2 0 1 8</t>
  </si>
  <si>
    <t>SPN03181213</t>
  </si>
  <si>
    <t>SPN12190913</t>
  </si>
  <si>
    <t>G r a n d   T o t a l   s . d .   2 7   S e p t e m b e r   2 0 1 8</t>
  </si>
  <si>
    <t>SPN03181226</t>
  </si>
  <si>
    <t>FR0077</t>
  </si>
  <si>
    <t>FR0078</t>
  </si>
  <si>
    <t>SPNS03042019</t>
  </si>
  <si>
    <t>SPNS03072019</t>
  </si>
  <si>
    <t>PBS019</t>
  </si>
  <si>
    <t>G r a n d   T o t a l   b u l a n   O k t o b e r   2 0 1 8</t>
  </si>
  <si>
    <t>SPN03190110</t>
  </si>
  <si>
    <t>SPN12191010</t>
  </si>
  <si>
    <t>PBS020</t>
  </si>
  <si>
    <t>SPN03190124</t>
  </si>
  <si>
    <t>ORI015</t>
  </si>
  <si>
    <t>SBR004</t>
  </si>
  <si>
    <t>SBR003</t>
  </si>
  <si>
    <t>SPNS01052019</t>
  </si>
  <si>
    <t>SPNS01082019</t>
  </si>
  <si>
    <t>G r a n d   T o t a l   s . d .   3 1  O k t o b e r   2 0 1 8</t>
  </si>
  <si>
    <t>G r a n d   T o t a l   b u l a n   N o v e m b e r   2 0 1 8</t>
  </si>
  <si>
    <t>SPN03190207</t>
  </si>
  <si>
    <t>SPN12191107</t>
  </si>
  <si>
    <t>USDPBS001</t>
  </si>
  <si>
    <t>USD100.000</t>
  </si>
  <si>
    <t>ST-002</t>
  </si>
  <si>
    <t>G r a n d   T o t a l   s . d .   2 9  N o v e m b e r   2 0 1 8</t>
  </si>
  <si>
    <t>SPN03190222</t>
  </si>
  <si>
    <t>PBS021</t>
  </si>
  <si>
    <t>G r a n d   T o t a l   b u l a n   D e s e m b e r   2 0 1 8</t>
  </si>
  <si>
    <t>G r a n d   T o t a l   s . d .   5   D e s e m b e r   2 0 1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</si>
</sst>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0.00000%"/>
    <numFmt numFmtId="168" formatCode="_(* #,##0_);_(* \(#,##0\);_(* &quot;-&quot;??_);_(@_)"/>
    <numFmt numFmtId="169" formatCode="[$-409]d\-mmm;@"/>
    <numFmt numFmtId="170" formatCode="[$-409]d\-mmm\-yy;@"/>
  </numFmts>
  <fonts count="2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theme="0"/>
      <name val="Arial"/>
      <family val="2"/>
    </font>
    <font>
      <sz val="7.5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62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Border="1" applyAlignment="1">
      <alignment horizontal="right"/>
    </xf>
    <xf numFmtId="0" fontId="19" fillId="0" borderId="14" xfId="0" applyFont="1" applyBorder="1" applyAlignment="1"/>
    <xf numFmtId="15" fontId="19" fillId="0" borderId="15" xfId="0" applyNumberFormat="1" applyFont="1" applyBorder="1" applyAlignment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164" fontId="19" fillId="0" borderId="15" xfId="29" applyFont="1" applyBorder="1" applyAlignment="1"/>
    <xf numFmtId="164" fontId="19" fillId="0" borderId="16" xfId="29" applyFont="1" applyBorder="1" applyAlignment="1"/>
    <xf numFmtId="164" fontId="19" fillId="0" borderId="18" xfId="29" applyFont="1" applyBorder="1" applyAlignment="1"/>
    <xf numFmtId="0" fontId="19" fillId="0" borderId="13" xfId="0" applyNumberFormat="1" applyFont="1" applyBorder="1" applyAlignment="1"/>
    <xf numFmtId="0" fontId="19" fillId="0" borderId="0" xfId="0" applyNumberFormat="1" applyFont="1" applyBorder="1" applyAlignment="1"/>
    <xf numFmtId="0" fontId="20" fillId="0" borderId="14" xfId="0" applyFont="1" applyBorder="1" applyAlignment="1"/>
    <xf numFmtId="15" fontId="20" fillId="0" borderId="15" xfId="0" applyNumberFormat="1" applyFont="1" applyBorder="1" applyAlignment="1"/>
    <xf numFmtId="10" fontId="20" fillId="0" borderId="16" xfId="41" applyNumberFormat="1" applyFont="1" applyBorder="1" applyAlignment="1"/>
    <xf numFmtId="0" fontId="20" fillId="0" borderId="15" xfId="0" applyFont="1" applyBorder="1" applyAlignment="1"/>
    <xf numFmtId="164" fontId="20" fillId="0" borderId="15" xfId="29" applyFont="1" applyBorder="1" applyAlignment="1"/>
    <xf numFmtId="164" fontId="20" fillId="0" borderId="16" xfId="29" applyFont="1" applyBorder="1" applyAlignment="1"/>
    <xf numFmtId="164" fontId="20" fillId="0" borderId="14" xfId="29" applyFont="1" applyBorder="1" applyAlignment="1"/>
    <xf numFmtId="164" fontId="20" fillId="0" borderId="18" xfId="29" applyFont="1" applyBorder="1" applyAlignment="1"/>
    <xf numFmtId="9" fontId="20" fillId="0" borderId="16" xfId="41" applyFont="1" applyBorder="1" applyAlignment="1"/>
    <xf numFmtId="167" fontId="20" fillId="0" borderId="16" xfId="41" applyNumberFormat="1" applyFont="1" applyBorder="1" applyAlignment="1"/>
    <xf numFmtId="167" fontId="20" fillId="0" borderId="15" xfId="0" applyNumberFormat="1" applyFont="1" applyBorder="1" applyAlignment="1"/>
    <xf numFmtId="165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164" fontId="19" fillId="0" borderId="10" xfId="29" applyFont="1" applyBorder="1"/>
    <xf numFmtId="166" fontId="19" fillId="0" borderId="12" xfId="29" applyNumberFormat="1" applyFont="1" applyFill="1" applyBorder="1" applyAlignment="1">
      <alignment horizontal="center"/>
    </xf>
    <xf numFmtId="164" fontId="19" fillId="0" borderId="11" xfId="29" applyFont="1" applyBorder="1"/>
    <xf numFmtId="164" fontId="20" fillId="0" borderId="0" xfId="0" applyNumberFormat="1" applyFont="1"/>
    <xf numFmtId="0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164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164" fontId="19" fillId="25" borderId="22" xfId="0" applyNumberFormat="1" applyFont="1" applyFill="1" applyBorder="1"/>
    <xf numFmtId="166" fontId="20" fillId="0" borderId="18" xfId="29" applyNumberFormat="1" applyFont="1" applyBorder="1" applyAlignment="1"/>
    <xf numFmtId="164" fontId="20" fillId="24" borderId="22" xfId="0" applyNumberFormat="1" applyFont="1" applyFill="1" applyBorder="1" applyAlignment="1">
      <alignment horizontal="left"/>
    </xf>
    <xf numFmtId="164" fontId="20" fillId="0" borderId="22" xfId="0" applyNumberFormat="1" applyFont="1" applyFill="1" applyBorder="1" applyAlignment="1">
      <alignment horizontal="left"/>
    </xf>
    <xf numFmtId="164" fontId="20" fillId="0" borderId="22" xfId="0" applyNumberFormat="1" applyFont="1" applyFill="1" applyBorder="1"/>
    <xf numFmtId="165" fontId="20" fillId="0" borderId="16" xfId="28" applyFont="1" applyBorder="1" applyAlignment="1"/>
    <xf numFmtId="164" fontId="19" fillId="0" borderId="22" xfId="0" applyNumberFormat="1" applyFont="1" applyFill="1" applyBorder="1" applyAlignment="1">
      <alignment horizontal="left"/>
    </xf>
    <xf numFmtId="164" fontId="19" fillId="0" borderId="22" xfId="0" applyNumberFormat="1" applyFont="1" applyFill="1" applyBorder="1"/>
    <xf numFmtId="0" fontId="20" fillId="0" borderId="0" xfId="0" applyFont="1" applyBorder="1" applyAlignment="1">
      <alignment horizontal="center" vertical="center" wrapText="1"/>
    </xf>
    <xf numFmtId="164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165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9" fontId="20" fillId="0" borderId="23" xfId="0" applyNumberFormat="1" applyFont="1" applyBorder="1" applyAlignment="1"/>
    <xf numFmtId="169" fontId="20" fillId="0" borderId="15" xfId="0" applyNumberFormat="1" applyFont="1" applyBorder="1" applyAlignment="1"/>
    <xf numFmtId="165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0" fontId="20" fillId="0" borderId="14" xfId="0" applyFont="1" applyFill="1" applyBorder="1" applyAlignment="1"/>
    <xf numFmtId="15" fontId="20" fillId="0" borderId="15" xfId="0" applyNumberFormat="1" applyFont="1" applyFill="1" applyBorder="1" applyAlignment="1"/>
    <xf numFmtId="167" fontId="20" fillId="0" borderId="16" xfId="41" applyNumberFormat="1" applyFont="1" applyFill="1" applyBorder="1" applyAlignment="1"/>
    <xf numFmtId="167" fontId="20" fillId="0" borderId="15" xfId="0" applyNumberFormat="1" applyFont="1" applyFill="1" applyBorder="1" applyAlignment="1"/>
    <xf numFmtId="164" fontId="20" fillId="0" borderId="15" xfId="29" applyFont="1" applyFill="1" applyBorder="1" applyAlignment="1"/>
    <xf numFmtId="166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0" fontId="20" fillId="0" borderId="0" xfId="0" applyFont="1" applyFill="1"/>
    <xf numFmtId="169" fontId="20" fillId="0" borderId="26" xfId="0" applyNumberFormat="1" applyFont="1" applyFill="1" applyBorder="1" applyAlignment="1"/>
    <xf numFmtId="169" fontId="20" fillId="0" borderId="23" xfId="0" applyNumberFormat="1" applyFont="1" applyFill="1" applyBorder="1" applyAlignment="1"/>
    <xf numFmtId="169" fontId="20" fillId="0" borderId="15" xfId="0" applyNumberFormat="1" applyFont="1" applyFill="1" applyBorder="1" applyAlignment="1"/>
    <xf numFmtId="165" fontId="20" fillId="0" borderId="16" xfId="28" applyFont="1" applyFill="1" applyBorder="1" applyAlignment="1"/>
    <xf numFmtId="169" fontId="20" fillId="0" borderId="27" xfId="0" applyNumberFormat="1" applyFont="1" applyFill="1" applyBorder="1" applyAlignment="1"/>
    <xf numFmtId="0" fontId="20" fillId="0" borderId="28" xfId="0" applyFont="1" applyFill="1" applyBorder="1" applyAlignment="1"/>
    <xf numFmtId="15" fontId="20" fillId="0" borderId="26" xfId="0" applyNumberFormat="1" applyFont="1" applyFill="1" applyBorder="1" applyAlignment="1"/>
    <xf numFmtId="167" fontId="20" fillId="0" borderId="26" xfId="41" applyNumberFormat="1" applyFont="1" applyFill="1" applyBorder="1" applyAlignment="1"/>
    <xf numFmtId="167" fontId="20" fillId="0" borderId="29" xfId="41" applyNumberFormat="1" applyFont="1" applyFill="1" applyBorder="1" applyAlignment="1"/>
    <xf numFmtId="167" fontId="20" fillId="0" borderId="26" xfId="0" applyNumberFormat="1" applyFont="1" applyFill="1" applyBorder="1" applyAlignment="1"/>
    <xf numFmtId="164" fontId="20" fillId="0" borderId="26" xfId="29" applyFont="1" applyFill="1" applyBorder="1" applyAlignment="1"/>
    <xf numFmtId="164" fontId="20" fillId="0" borderId="26" xfId="29" applyFont="1" applyFill="1" applyBorder="1" applyAlignment="1">
      <alignment horizontal="right"/>
    </xf>
    <xf numFmtId="166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8" fontId="20" fillId="0" borderId="0" xfId="28" applyNumberFormat="1" applyFont="1"/>
    <xf numFmtId="165" fontId="19" fillId="0" borderId="0" xfId="28" applyFont="1" applyBorder="1"/>
    <xf numFmtId="169" fontId="20" fillId="0" borderId="0" xfId="0" applyNumberFormat="1" applyFont="1" applyBorder="1" applyAlignment="1"/>
    <xf numFmtId="169" fontId="20" fillId="26" borderId="23" xfId="0" applyNumberFormat="1" applyFont="1" applyFill="1" applyBorder="1" applyAlignment="1"/>
    <xf numFmtId="169" fontId="20" fillId="26" borderId="15" xfId="0" applyNumberFormat="1" applyFont="1" applyFill="1" applyBorder="1" applyAlignment="1"/>
    <xf numFmtId="0" fontId="20" fillId="26" borderId="14" xfId="0" applyFont="1" applyFill="1" applyBorder="1" applyAlignment="1"/>
    <xf numFmtId="15" fontId="20" fillId="26" borderId="15" xfId="0" applyNumberFormat="1" applyFont="1" applyFill="1" applyBorder="1" applyAlignment="1"/>
    <xf numFmtId="165" fontId="20" fillId="26" borderId="16" xfId="28" applyFont="1" applyFill="1" applyBorder="1" applyAlignment="1"/>
    <xf numFmtId="167" fontId="20" fillId="26" borderId="16" xfId="41" applyNumberFormat="1" applyFont="1" applyFill="1" applyBorder="1" applyAlignment="1"/>
    <xf numFmtId="167" fontId="20" fillId="26" borderId="15" xfId="0" applyNumberFormat="1" applyFont="1" applyFill="1" applyBorder="1" applyAlignment="1"/>
    <xf numFmtId="164" fontId="20" fillId="26" borderId="15" xfId="29" applyFont="1" applyFill="1" applyBorder="1" applyAlignment="1"/>
    <xf numFmtId="166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9" fontId="20" fillId="26" borderId="0" xfId="0" applyNumberFormat="1" applyFont="1" applyFill="1" applyBorder="1" applyAlignment="1"/>
    <xf numFmtId="0" fontId="19" fillId="26" borderId="13" xfId="0" applyNumberFormat="1" applyFont="1" applyFill="1" applyBorder="1" applyAlignment="1"/>
    <xf numFmtId="0" fontId="19" fillId="26" borderId="0" xfId="0" applyNumberFormat="1" applyFont="1" applyFill="1" applyBorder="1" applyAlignment="1"/>
    <xf numFmtId="10" fontId="20" fillId="0" borderId="0" xfId="41" applyNumberFormat="1" applyFont="1"/>
    <xf numFmtId="10" fontId="20" fillId="0" borderId="16" xfId="28" applyNumberFormat="1" applyFont="1" applyBorder="1" applyAlignment="1"/>
    <xf numFmtId="167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165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0" fontId="19" fillId="0" borderId="13" xfId="0" applyNumberFormat="1" applyFont="1" applyFill="1" applyBorder="1" applyAlignment="1"/>
    <xf numFmtId="169" fontId="20" fillId="0" borderId="0" xfId="0" applyNumberFormat="1" applyFont="1" applyFill="1" applyBorder="1" applyAlignment="1"/>
    <xf numFmtId="0" fontId="19" fillId="0" borderId="0" xfId="0" applyNumberFormat="1" applyFont="1" applyFill="1" applyBorder="1" applyAlignment="1"/>
    <xf numFmtId="166" fontId="21" fillId="0" borderId="30" xfId="29" applyNumberFormat="1" applyFont="1" applyFill="1" applyBorder="1" applyAlignment="1"/>
    <xf numFmtId="164" fontId="20" fillId="0" borderId="26" xfId="29" applyFont="1" applyBorder="1" applyAlignment="1"/>
    <xf numFmtId="167" fontId="20" fillId="0" borderId="14" xfId="0" applyNumberFormat="1" applyFont="1" applyFill="1" applyBorder="1" applyAlignment="1"/>
    <xf numFmtId="167" fontId="20" fillId="0" borderId="28" xfId="0" applyNumberFormat="1" applyFont="1" applyFill="1" applyBorder="1" applyAlignment="1"/>
    <xf numFmtId="0" fontId="20" fillId="0" borderId="22" xfId="0" applyFont="1" applyBorder="1"/>
    <xf numFmtId="164" fontId="19" fillId="0" borderId="22" xfId="29" applyFont="1" applyBorder="1"/>
    <xf numFmtId="164" fontId="20" fillId="0" borderId="22" xfId="0" applyNumberFormat="1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165" fontId="20" fillId="25" borderId="0" xfId="0" applyNumberFormat="1" applyFont="1" applyFill="1"/>
    <xf numFmtId="0" fontId="20" fillId="25" borderId="0" xfId="0" applyFont="1" applyFill="1"/>
    <xf numFmtId="169" fontId="20" fillId="26" borderId="27" xfId="0" applyNumberFormat="1" applyFont="1" applyFill="1" applyBorder="1" applyAlignment="1"/>
    <xf numFmtId="0" fontId="20" fillId="26" borderId="28" xfId="0" applyFont="1" applyFill="1" applyBorder="1" applyAlignment="1"/>
    <xf numFmtId="15" fontId="20" fillId="26" borderId="26" xfId="0" applyNumberFormat="1" applyFont="1" applyFill="1" applyBorder="1" applyAlignment="1"/>
    <xf numFmtId="165" fontId="20" fillId="26" borderId="29" xfId="28" applyFont="1" applyFill="1" applyBorder="1" applyAlignment="1"/>
    <xf numFmtId="167" fontId="20" fillId="26" borderId="29" xfId="41" applyNumberFormat="1" applyFont="1" applyFill="1" applyBorder="1" applyAlignment="1"/>
    <xf numFmtId="167" fontId="20" fillId="26" borderId="26" xfId="0" applyNumberFormat="1" applyFont="1" applyFill="1" applyBorder="1" applyAlignment="1"/>
    <xf numFmtId="164" fontId="20" fillId="26" borderId="26" xfId="29" applyFont="1" applyFill="1" applyBorder="1" applyAlignment="1"/>
    <xf numFmtId="166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NumberFormat="1" applyFont="1" applyFill="1" applyBorder="1" applyAlignment="1"/>
    <xf numFmtId="169" fontId="20" fillId="26" borderId="35" xfId="0" applyNumberFormat="1" applyFont="1" applyFill="1" applyBorder="1" applyAlignment="1"/>
    <xf numFmtId="0" fontId="20" fillId="26" borderId="36" xfId="0" applyFont="1" applyFill="1" applyBorder="1" applyAlignment="1"/>
    <xf numFmtId="15" fontId="20" fillId="26" borderId="32" xfId="0" applyNumberFormat="1" applyFont="1" applyFill="1" applyBorder="1" applyAlignment="1"/>
    <xf numFmtId="165" fontId="20" fillId="26" borderId="37" xfId="28" applyFont="1" applyFill="1" applyBorder="1" applyAlignment="1"/>
    <xf numFmtId="167" fontId="20" fillId="26" borderId="37" xfId="41" applyNumberFormat="1" applyFont="1" applyFill="1" applyBorder="1" applyAlignment="1"/>
    <xf numFmtId="167" fontId="20" fillId="26" borderId="32" xfId="0" applyNumberFormat="1" applyFont="1" applyFill="1" applyBorder="1" applyAlignment="1"/>
    <xf numFmtId="164" fontId="20" fillId="26" borderId="32" xfId="29" applyFont="1" applyFill="1" applyBorder="1" applyAlignment="1"/>
    <xf numFmtId="166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NumberFormat="1" applyFont="1" applyFill="1" applyBorder="1" applyAlignment="1"/>
    <xf numFmtId="0" fontId="19" fillId="26" borderId="40" xfId="0" applyNumberFormat="1" applyFont="1" applyFill="1" applyBorder="1" applyAlignment="1"/>
    <xf numFmtId="0" fontId="20" fillId="26" borderId="41" xfId="0" applyFont="1" applyFill="1" applyBorder="1" applyAlignment="1"/>
    <xf numFmtId="15" fontId="20" fillId="26" borderId="42" xfId="0" applyNumberFormat="1" applyFont="1" applyFill="1" applyBorder="1" applyAlignment="1"/>
    <xf numFmtId="167" fontId="20" fillId="26" borderId="43" xfId="41" applyNumberFormat="1" applyFont="1" applyFill="1" applyBorder="1" applyAlignment="1"/>
    <xf numFmtId="167" fontId="20" fillId="26" borderId="42" xfId="0" applyNumberFormat="1" applyFont="1" applyFill="1" applyBorder="1" applyAlignment="1"/>
    <xf numFmtId="164" fontId="20" fillId="26" borderId="42" xfId="29" applyFont="1" applyFill="1" applyBorder="1" applyAlignment="1"/>
    <xf numFmtId="166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164" fontId="20" fillId="0" borderId="15" xfId="29" applyFont="1" applyFill="1" applyBorder="1" applyAlignment="1">
      <alignment horizontal="right"/>
    </xf>
    <xf numFmtId="0" fontId="19" fillId="26" borderId="35" xfId="0" applyNumberFormat="1" applyFont="1" applyFill="1" applyBorder="1" applyAlignment="1"/>
    <xf numFmtId="0" fontId="22" fillId="0" borderId="0" xfId="0" applyFont="1"/>
    <xf numFmtId="15" fontId="20" fillId="26" borderId="0" xfId="0" applyNumberFormat="1" applyFont="1" applyFill="1" applyBorder="1" applyAlignment="1"/>
    <xf numFmtId="167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165" fontId="20" fillId="0" borderId="0" xfId="0" applyNumberFormat="1" applyFont="1" applyFill="1"/>
    <xf numFmtId="0" fontId="20" fillId="0" borderId="36" xfId="0" applyFont="1" applyFill="1" applyBorder="1" applyAlignment="1"/>
    <xf numFmtId="15" fontId="20" fillId="0" borderId="32" xfId="0" applyNumberFormat="1" applyFont="1" applyFill="1" applyBorder="1" applyAlignment="1"/>
    <xf numFmtId="167" fontId="20" fillId="0" borderId="37" xfId="41" applyNumberFormat="1" applyFont="1" applyFill="1" applyBorder="1" applyAlignment="1"/>
    <xf numFmtId="164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9" fontId="20" fillId="0" borderId="46" xfId="0" applyNumberFormat="1" applyFont="1" applyFill="1" applyBorder="1" applyAlignment="1"/>
    <xf numFmtId="167" fontId="20" fillId="0" borderId="16" xfId="0" applyNumberFormat="1" applyFont="1" applyBorder="1" applyAlignment="1"/>
    <xf numFmtId="164" fontId="20" fillId="26" borderId="15" xfId="29" applyFont="1" applyFill="1" applyBorder="1" applyAlignment="1">
      <alignment horizontal="right"/>
    </xf>
    <xf numFmtId="169" fontId="20" fillId="0" borderId="15" xfId="0" applyNumberFormat="1" applyFont="1" applyFill="1" applyBorder="1" applyAlignment="1">
      <alignment horizontal="center" vertical="center" wrapText="1"/>
    </xf>
    <xf numFmtId="164" fontId="20" fillId="0" borderId="47" xfId="29" applyFont="1" applyFill="1" applyBorder="1" applyAlignment="1">
      <alignment horizontal="center"/>
    </xf>
    <xf numFmtId="166" fontId="19" fillId="0" borderId="22" xfId="29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9" fontId="20" fillId="0" borderId="47" xfId="0" applyNumberFormat="1" applyFont="1" applyFill="1" applyBorder="1" applyAlignment="1">
      <alignment horizontal="center"/>
    </xf>
    <xf numFmtId="0" fontId="19" fillId="0" borderId="47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0" fillId="0" borderId="47" xfId="0" applyFont="1" applyFill="1" applyBorder="1" applyAlignment="1">
      <alignment horizontal="left"/>
    </xf>
    <xf numFmtId="170" fontId="20" fillId="0" borderId="47" xfId="0" applyNumberFormat="1" applyFont="1" applyFill="1" applyBorder="1" applyAlignment="1">
      <alignment horizontal="center"/>
    </xf>
    <xf numFmtId="167" fontId="20" fillId="0" borderId="47" xfId="41" applyNumberFormat="1" applyFont="1" applyFill="1" applyBorder="1" applyAlignment="1">
      <alignment horizontal="center"/>
    </xf>
    <xf numFmtId="167" fontId="20" fillId="0" borderId="47" xfId="0" applyNumberFormat="1" applyFont="1" applyFill="1" applyBorder="1" applyAlignment="1">
      <alignment horizontal="center"/>
    </xf>
    <xf numFmtId="166" fontId="20" fillId="0" borderId="47" xfId="29" applyNumberFormat="1" applyFont="1" applyFill="1" applyBorder="1" applyAlignment="1">
      <alignment horizontal="center"/>
    </xf>
    <xf numFmtId="15" fontId="20" fillId="0" borderId="47" xfId="0" applyNumberFormat="1" applyFont="1" applyFill="1" applyBorder="1" applyAlignment="1">
      <alignment horizontal="center"/>
    </xf>
    <xf numFmtId="167" fontId="20" fillId="0" borderId="0" xfId="0" applyNumberFormat="1" applyFont="1" applyAlignment="1">
      <alignment horizontal="center"/>
    </xf>
    <xf numFmtId="164" fontId="20" fillId="0" borderId="47" xfId="29" applyFont="1" applyFill="1" applyBorder="1" applyAlignment="1"/>
    <xf numFmtId="164" fontId="20" fillId="0" borderId="47" xfId="29" quotePrefix="1" applyFont="1" applyFill="1" applyBorder="1" applyAlignment="1"/>
    <xf numFmtId="164" fontId="20" fillId="0" borderId="48" xfId="29" quotePrefix="1" applyFont="1" applyFill="1" applyBorder="1" applyAlignment="1"/>
    <xf numFmtId="166" fontId="20" fillId="0" borderId="48" xfId="29" applyNumberFormat="1" applyFont="1" applyFill="1" applyBorder="1" applyAlignment="1">
      <alignment horizontal="center"/>
    </xf>
    <xf numFmtId="164" fontId="20" fillId="0" borderId="0" xfId="0" applyNumberFormat="1" applyFont="1" applyFill="1"/>
    <xf numFmtId="10" fontId="20" fillId="0" borderId="47" xfId="41" applyNumberFormat="1" applyFont="1" applyFill="1" applyBorder="1" applyAlignment="1">
      <alignment horizontal="center"/>
    </xf>
    <xf numFmtId="10" fontId="20" fillId="0" borderId="47" xfId="29" applyNumberFormat="1" applyFont="1" applyFill="1" applyBorder="1" applyAlignment="1">
      <alignment horizontal="center"/>
    </xf>
    <xf numFmtId="164" fontId="20" fillId="0" borderId="47" xfId="29" quotePrefix="1" applyFont="1" applyFill="1" applyBorder="1" applyAlignment="1">
      <alignment horizontal="center"/>
    </xf>
    <xf numFmtId="0" fontId="20" fillId="0" borderId="47" xfId="0" applyNumberFormat="1" applyFont="1" applyFill="1" applyBorder="1" applyAlignment="1">
      <alignment horizontal="center"/>
    </xf>
    <xf numFmtId="0" fontId="20" fillId="0" borderId="47" xfId="0" applyFont="1" applyFill="1" applyBorder="1" applyAlignment="1">
      <alignment horizontal="center"/>
    </xf>
    <xf numFmtId="16" fontId="24" fillId="0" borderId="47" xfId="0" applyNumberFormat="1" applyFont="1" applyFill="1" applyBorder="1" applyAlignment="1">
      <alignment horizontal="center"/>
    </xf>
    <xf numFmtId="0" fontId="26" fillId="28" borderId="22" xfId="0" applyFont="1" applyFill="1" applyBorder="1" applyAlignment="1">
      <alignment horizontal="center" vertical="center" wrapText="1"/>
    </xf>
    <xf numFmtId="167" fontId="26" fillId="28" borderId="22" xfId="0" applyNumberFormat="1" applyFont="1" applyFill="1" applyBorder="1" applyAlignment="1">
      <alignment horizontal="center" vertical="center" wrapText="1"/>
    </xf>
    <xf numFmtId="0" fontId="26" fillId="28" borderId="10" xfId="0" applyFont="1" applyFill="1" applyBorder="1" applyAlignment="1">
      <alignment horizontal="center" vertical="center" wrapText="1"/>
    </xf>
    <xf numFmtId="170" fontId="20" fillId="0" borderId="47" xfId="0" applyNumberFormat="1" applyFont="1" applyFill="1" applyBorder="1" applyAlignment="1">
      <alignment horizontal="center"/>
    </xf>
    <xf numFmtId="167" fontId="20" fillId="0" borderId="47" xfId="0" applyNumberFormat="1" applyFont="1" applyFill="1" applyBorder="1" applyAlignment="1">
      <alignment horizontal="center"/>
    </xf>
    <xf numFmtId="0" fontId="20" fillId="0" borderId="0" xfId="0" applyFont="1"/>
    <xf numFmtId="43" fontId="20" fillId="0" borderId="0" xfId="0" applyNumberFormat="1" applyFont="1"/>
    <xf numFmtId="164" fontId="20" fillId="0" borderId="47" xfId="29" applyFont="1" applyFill="1" applyBorder="1" applyAlignment="1">
      <alignment horizontal="center"/>
    </xf>
    <xf numFmtId="166" fontId="19" fillId="0" borderId="22" xfId="29" applyNumberFormat="1" applyFont="1" applyFill="1" applyBorder="1" applyAlignment="1">
      <alignment horizontal="center"/>
    </xf>
    <xf numFmtId="164" fontId="19" fillId="0" borderId="22" xfId="29" applyFont="1" applyBorder="1" applyAlignment="1">
      <alignment horizontal="center"/>
    </xf>
    <xf numFmtId="167" fontId="20" fillId="0" borderId="47" xfId="41" applyNumberFormat="1" applyFont="1" applyFill="1" applyBorder="1" applyAlignment="1">
      <alignment horizontal="center"/>
    </xf>
    <xf numFmtId="166" fontId="20" fillId="0" borderId="47" xfId="29" applyNumberFormat="1" applyFont="1" applyFill="1" applyBorder="1" applyAlignment="1">
      <alignment horizontal="center"/>
    </xf>
    <xf numFmtId="164" fontId="20" fillId="0" borderId="47" xfId="29" applyFont="1" applyFill="1" applyBorder="1" applyAlignment="1"/>
    <xf numFmtId="164" fontId="20" fillId="0" borderId="48" xfId="29" quotePrefix="1" applyFont="1" applyFill="1" applyBorder="1" applyAlignment="1"/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0" fontId="27" fillId="0" borderId="0" xfId="0" applyFont="1"/>
    <xf numFmtId="0" fontId="19" fillId="0" borderId="52" xfId="0" applyNumberFormat="1" applyFont="1" applyFill="1" applyBorder="1" applyAlignment="1">
      <alignment horizontal="center"/>
    </xf>
    <xf numFmtId="0" fontId="20" fillId="0" borderId="52" xfId="0" applyFont="1" applyFill="1" applyBorder="1" applyAlignment="1">
      <alignment horizontal="left"/>
    </xf>
    <xf numFmtId="15" fontId="20" fillId="0" borderId="52" xfId="0" applyNumberFormat="1" applyFont="1" applyFill="1" applyBorder="1" applyAlignment="1">
      <alignment horizontal="center"/>
    </xf>
    <xf numFmtId="167" fontId="20" fillId="0" borderId="52" xfId="41" applyNumberFormat="1" applyFont="1" applyFill="1" applyBorder="1" applyAlignment="1">
      <alignment horizontal="center"/>
    </xf>
    <xf numFmtId="167" fontId="20" fillId="0" borderId="52" xfId="0" applyNumberFormat="1" applyFont="1" applyFill="1" applyBorder="1" applyAlignment="1">
      <alignment horizontal="center"/>
    </xf>
    <xf numFmtId="164" fontId="20" fillId="0" borderId="52" xfId="29" quotePrefix="1" applyFont="1" applyFill="1" applyBorder="1" applyAlignment="1"/>
    <xf numFmtId="164" fontId="20" fillId="0" borderId="52" xfId="29" applyFont="1" applyFill="1" applyBorder="1" applyAlignment="1"/>
    <xf numFmtId="166" fontId="20" fillId="0" borderId="52" xfId="29" applyNumberFormat="1" applyFont="1" applyFill="1" applyBorder="1" applyAlignment="1">
      <alignment horizontal="center"/>
    </xf>
    <xf numFmtId="0" fontId="27" fillId="0" borderId="47" xfId="0" applyFont="1" applyBorder="1"/>
    <xf numFmtId="167" fontId="20" fillId="0" borderId="53" xfId="0" applyNumberFormat="1" applyFont="1" applyFill="1" applyBorder="1" applyAlignment="1">
      <alignment horizontal="center"/>
    </xf>
    <xf numFmtId="164" fontId="20" fillId="0" borderId="53" xfId="29" quotePrefix="1" applyFont="1" applyFill="1" applyBorder="1" applyAlignment="1"/>
    <xf numFmtId="164" fontId="20" fillId="0" borderId="53" xfId="29" applyFont="1" applyFill="1" applyBorder="1" applyAlignment="1"/>
    <xf numFmtId="166" fontId="20" fillId="0" borderId="53" xfId="29" applyNumberFormat="1" applyFont="1" applyFill="1" applyBorder="1" applyAlignment="1">
      <alignment horizontal="center"/>
    </xf>
    <xf numFmtId="0" fontId="27" fillId="0" borderId="52" xfId="0" applyFont="1" applyBorder="1"/>
    <xf numFmtId="164" fontId="20" fillId="0" borderId="47" xfId="29" applyFont="1" applyFill="1" applyBorder="1" applyAlignment="1">
      <alignment horizontal="right"/>
    </xf>
    <xf numFmtId="164" fontId="20" fillId="0" borderId="52" xfId="29" applyFont="1" applyFill="1" applyBorder="1" applyAlignment="1">
      <alignment horizontal="right"/>
    </xf>
    <xf numFmtId="166" fontId="20" fillId="0" borderId="52" xfId="29" applyNumberFormat="1" applyFont="1" applyFill="1" applyBorder="1" applyAlignment="1">
      <alignment horizontal="right"/>
    </xf>
    <xf numFmtId="170" fontId="24" fillId="0" borderId="47" xfId="0" applyNumberFormat="1" applyFont="1" applyFill="1" applyBorder="1" applyAlignment="1">
      <alignment horizontal="center"/>
    </xf>
    <xf numFmtId="164" fontId="20" fillId="0" borderId="47" xfId="29" quotePrefix="1" applyFont="1" applyFill="1" applyBorder="1" applyAlignment="1">
      <alignment horizontal="right"/>
    </xf>
    <xf numFmtId="166" fontId="20" fillId="0" borderId="47" xfId="29" applyNumberFormat="1" applyFont="1" applyFill="1" applyBorder="1" applyAlignment="1">
      <alignment horizontal="right"/>
    </xf>
    <xf numFmtId="170" fontId="20" fillId="0" borderId="48" xfId="0" applyNumberFormat="1" applyFont="1" applyFill="1" applyBorder="1" applyAlignment="1">
      <alignment horizontal="center"/>
    </xf>
    <xf numFmtId="16" fontId="24" fillId="0" borderId="48" xfId="0" applyNumberFormat="1" applyFont="1" applyFill="1" applyBorder="1" applyAlignment="1">
      <alignment horizontal="center"/>
    </xf>
    <xf numFmtId="0" fontId="20" fillId="0" borderId="48" xfId="0" applyFont="1" applyFill="1" applyBorder="1" applyAlignment="1">
      <alignment horizontal="left"/>
    </xf>
    <xf numFmtId="15" fontId="20" fillId="0" borderId="48" xfId="0" applyNumberFormat="1" applyFont="1" applyFill="1" applyBorder="1" applyAlignment="1">
      <alignment horizontal="center"/>
    </xf>
    <xf numFmtId="167" fontId="20" fillId="0" borderId="48" xfId="41" applyNumberFormat="1" applyFont="1" applyFill="1" applyBorder="1" applyAlignment="1">
      <alignment horizontal="center"/>
    </xf>
    <xf numFmtId="164" fontId="20" fillId="0" borderId="48" xfId="29" applyFont="1" applyFill="1" applyBorder="1" applyAlignment="1"/>
    <xf numFmtId="167" fontId="20" fillId="0" borderId="47" xfId="0" quotePrefix="1" applyNumberFormat="1" applyFont="1" applyFill="1" applyBorder="1" applyAlignment="1">
      <alignment horizontal="center"/>
    </xf>
    <xf numFmtId="164" fontId="20" fillId="0" borderId="52" xfId="29" quotePrefix="1" applyFont="1" applyFill="1" applyBorder="1" applyAlignment="1">
      <alignment horizontal="right"/>
    </xf>
    <xf numFmtId="166" fontId="20" fillId="0" borderId="52" xfId="29" quotePrefix="1" applyNumberFormat="1" applyFont="1" applyFill="1" applyBorder="1" applyAlignment="1">
      <alignment horizontal="right"/>
    </xf>
    <xf numFmtId="164" fontId="20" fillId="0" borderId="47" xfId="0" applyNumberFormat="1" applyFont="1" applyFill="1" applyBorder="1" applyAlignment="1">
      <alignment horizontal="center"/>
    </xf>
    <xf numFmtId="166" fontId="20" fillId="0" borderId="47" xfId="29" quotePrefix="1" applyNumberFormat="1" applyFont="1" applyFill="1" applyBorder="1" applyAlignment="1">
      <alignment horizontal="right"/>
    </xf>
    <xf numFmtId="167" fontId="20" fillId="0" borderId="53" xfId="29" applyNumberFormat="1" applyFont="1" applyFill="1" applyBorder="1" applyAlignment="1">
      <alignment horizontal="center"/>
    </xf>
    <xf numFmtId="164" fontId="20" fillId="0" borderId="0" xfId="29" applyFont="1" applyFill="1" applyBorder="1" applyAlignment="1">
      <alignment horizontal="right"/>
    </xf>
    <xf numFmtId="0" fontId="27" fillId="0" borderId="47" xfId="0" applyFont="1" applyFill="1" applyBorder="1"/>
    <xf numFmtId="164" fontId="20" fillId="0" borderId="0" xfId="0" applyNumberFormat="1" applyFont="1" applyAlignment="1">
      <alignment horizontal="center"/>
    </xf>
    <xf numFmtId="169" fontId="20" fillId="0" borderId="27" xfId="0" applyNumberFormat="1" applyFont="1" applyFill="1" applyBorder="1" applyAlignment="1">
      <alignment horizontal="center" vertical="center" wrapText="1"/>
    </xf>
    <xf numFmtId="169" fontId="20" fillId="0" borderId="23" xfId="0" applyNumberFormat="1" applyFont="1" applyFill="1" applyBorder="1" applyAlignment="1">
      <alignment horizontal="center" vertical="center" wrapText="1"/>
    </xf>
    <xf numFmtId="169" fontId="20" fillId="0" borderId="26" xfId="0" applyNumberFormat="1" applyFont="1" applyFill="1" applyBorder="1" applyAlignment="1">
      <alignment horizontal="center" vertical="center" wrapText="1"/>
    </xf>
    <xf numFmtId="169" fontId="20" fillId="0" borderId="15" xfId="0" applyNumberFormat="1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19" fillId="0" borderId="49" xfId="0" applyNumberFormat="1" applyFont="1" applyFill="1" applyBorder="1" applyAlignment="1">
      <alignment horizontal="center"/>
    </xf>
    <xf numFmtId="0" fontId="19" fillId="0" borderId="50" xfId="0" applyNumberFormat="1" applyFont="1" applyFill="1" applyBorder="1" applyAlignment="1">
      <alignment horizontal="center"/>
    </xf>
    <xf numFmtId="0" fontId="19" fillId="0" borderId="51" xfId="0" applyNumberFormat="1" applyFont="1" applyFill="1" applyBorder="1" applyAlignment="1">
      <alignment horizontal="center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20" fillId="0" borderId="35" xfId="0" applyFont="1" applyBorder="1" applyAlignment="1">
      <alignment horizontal="right"/>
    </xf>
    <xf numFmtId="0" fontId="19" fillId="0" borderId="54" xfId="0" applyNumberFormat="1" applyFont="1" applyFill="1" applyBorder="1" applyAlignment="1">
      <alignment horizontal="center"/>
    </xf>
    <xf numFmtId="0" fontId="19" fillId="0" borderId="55" xfId="0" applyNumberFormat="1" applyFont="1" applyFill="1" applyBorder="1" applyAlignment="1">
      <alignment horizontal="center"/>
    </xf>
    <xf numFmtId="0" fontId="19" fillId="0" borderId="56" xfId="0" applyNumberFormat="1" applyFont="1" applyFill="1" applyBorder="1" applyAlignment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/>
    <cellStyle name="Normal 2 2" xfId="47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1bonds_job\debtproject\Apr03\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1bonds_job\Documents%20and%20Settings\Administrator\My%20Documents\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on22c2\RATING-AGENC\Documents%20and%20Settings\Administrator\My%20Documents\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L_1b"/>
      <sheetName val="CFL_1c"/>
      <sheetName val="Kalender"/>
      <sheetName val="SummBB"/>
      <sheetName val="CF_1b"/>
      <sheetName val="CF_1c"/>
      <sheetName val="Summary"/>
      <sheetName val="BB_1b"/>
      <sheetName val="BB_1c"/>
      <sheetName val="Outsanding"/>
      <sheetName val="Tabel penerimaan dan wjb pjk"/>
      <sheetName val="Tabel dan Graf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WA yield Graph"/>
      <sheetName val="Yield Curve"/>
      <sheetName val="July Calculation "/>
      <sheetName val="July sort by bond"/>
      <sheetName val="July sort by seller"/>
      <sheetName val="July sort by buyer"/>
      <sheetName val="July sort by name"/>
      <sheetName val="June Calculation "/>
      <sheetName val="May Calculation"/>
      <sheetName val="April Calculation"/>
      <sheetName val="March FR Calculation"/>
      <sheetName val="February FR Calculation"/>
      <sheetName val="January Calculation"/>
      <sheetName val="Bond Data"/>
      <sheetName val="WA_yield_Graph"/>
      <sheetName val="Yield_Curve"/>
      <sheetName val="July_Calculation_"/>
      <sheetName val="July_sort_by_bond"/>
      <sheetName val="July_sort_by_seller"/>
      <sheetName val="July_sort_by_buyer"/>
      <sheetName val="July_sort_by_name"/>
      <sheetName val="June_Calculation_"/>
      <sheetName val="May_Calculation"/>
      <sheetName val="April_Calculation"/>
      <sheetName val="March_FR_Calculation"/>
      <sheetName val="February_FR_Calculation"/>
      <sheetName val="January_Calculation"/>
      <sheetName val="Bond_Data"/>
      <sheetName val="Page 51"/>
      <sheetName val="Page 5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A4" t="str">
            <v>FR0001</v>
          </cell>
          <cell r="B4">
            <v>38245</v>
          </cell>
          <cell r="C4">
            <v>0.12</v>
          </cell>
        </row>
        <row r="5">
          <cell r="A5" t="str">
            <v>FR0002</v>
          </cell>
          <cell r="B5">
            <v>39979</v>
          </cell>
          <cell r="C5">
            <v>0.14000000000000001</v>
          </cell>
        </row>
        <row r="6">
          <cell r="A6" t="str">
            <v>FR0003</v>
          </cell>
          <cell r="B6">
            <v>38487</v>
          </cell>
          <cell r="C6">
            <v>0.12</v>
          </cell>
        </row>
        <row r="7">
          <cell r="A7" t="str">
            <v>FR0004</v>
          </cell>
          <cell r="B7">
            <v>38763</v>
          </cell>
          <cell r="C7">
            <v>0.12125</v>
          </cell>
        </row>
        <row r="8">
          <cell r="A8" t="str">
            <v>FR0005</v>
          </cell>
          <cell r="B8">
            <v>39278</v>
          </cell>
          <cell r="C8">
            <v>0.1225</v>
          </cell>
        </row>
        <row r="9">
          <cell r="A9" t="str">
            <v>FR0006</v>
          </cell>
          <cell r="B9">
            <v>38245</v>
          </cell>
          <cell r="C9">
            <v>0.16500000000000001</v>
          </cell>
        </row>
        <row r="10">
          <cell r="A10" t="str">
            <v>FR0007</v>
          </cell>
          <cell r="B10">
            <v>38245</v>
          </cell>
          <cell r="C10">
            <v>0.1</v>
          </cell>
        </row>
        <row r="11">
          <cell r="A11" t="str">
            <v>FR0008</v>
          </cell>
          <cell r="B11">
            <v>38487</v>
          </cell>
          <cell r="C11">
            <v>0.16500000000000001</v>
          </cell>
        </row>
        <row r="12">
          <cell r="A12" t="str">
            <v>FR0009</v>
          </cell>
          <cell r="B12">
            <v>38487</v>
          </cell>
          <cell r="C12">
            <v>0.1</v>
          </cell>
        </row>
        <row r="13">
          <cell r="A13" t="str">
            <v>VR0001</v>
          </cell>
          <cell r="B13">
            <v>37462</v>
          </cell>
          <cell r="C13">
            <v>0.1579923</v>
          </cell>
        </row>
        <row r="14">
          <cell r="A14" t="str">
            <v>VR0002</v>
          </cell>
          <cell r="B14">
            <v>37677</v>
          </cell>
          <cell r="C14">
            <v>0.1579923</v>
          </cell>
        </row>
        <row r="15">
          <cell r="A15" t="str">
            <v>VR0003</v>
          </cell>
          <cell r="B15">
            <v>37797</v>
          </cell>
          <cell r="C15">
            <v>0.1627699</v>
          </cell>
        </row>
        <row r="16">
          <cell r="A16" t="str">
            <v>VR0004</v>
          </cell>
          <cell r="B16">
            <v>38011</v>
          </cell>
          <cell r="C16">
            <v>0.1579923</v>
          </cell>
        </row>
        <row r="17">
          <cell r="A17" t="str">
            <v>VR0005</v>
          </cell>
          <cell r="B17">
            <v>38132</v>
          </cell>
          <cell r="C17">
            <v>0.1579923</v>
          </cell>
        </row>
        <row r="18">
          <cell r="A18" t="str">
            <v>VR0006</v>
          </cell>
          <cell r="B18">
            <v>38346</v>
          </cell>
          <cell r="C18">
            <v>0.1627699</v>
          </cell>
        </row>
        <row r="19">
          <cell r="A19" t="str">
            <v>VR0007</v>
          </cell>
          <cell r="B19">
            <v>38467</v>
          </cell>
          <cell r="C19">
            <v>0.1579923</v>
          </cell>
        </row>
        <row r="20">
          <cell r="A20" t="str">
            <v>VR0008</v>
          </cell>
          <cell r="B20">
            <v>38681</v>
          </cell>
          <cell r="C20">
            <v>0.1579923</v>
          </cell>
        </row>
        <row r="21">
          <cell r="A21" t="str">
            <v>VR0009</v>
          </cell>
          <cell r="B21">
            <v>38801</v>
          </cell>
          <cell r="C21">
            <v>0.1627699</v>
          </cell>
        </row>
        <row r="22">
          <cell r="A22" t="str">
            <v>VR0010</v>
          </cell>
          <cell r="B22">
            <v>39015</v>
          </cell>
          <cell r="C22">
            <v>0.1579923</v>
          </cell>
        </row>
        <row r="23">
          <cell r="A23" t="str">
            <v>VR0011</v>
          </cell>
          <cell r="B23">
            <v>39138</v>
          </cell>
          <cell r="C23">
            <v>0.1579923</v>
          </cell>
        </row>
        <row r="24">
          <cell r="A24" t="str">
            <v>VR0012</v>
          </cell>
          <cell r="B24">
            <v>39350</v>
          </cell>
          <cell r="C24">
            <v>0.1627699</v>
          </cell>
        </row>
        <row r="25">
          <cell r="A25" t="str">
            <v>VR0013</v>
          </cell>
          <cell r="B25">
            <v>39472</v>
          </cell>
          <cell r="C25">
            <v>0.1579923</v>
          </cell>
        </row>
        <row r="26">
          <cell r="A26" t="str">
            <v>VR0014</v>
          </cell>
          <cell r="B26">
            <v>39685</v>
          </cell>
          <cell r="C26">
            <v>0.1579923</v>
          </cell>
        </row>
        <row r="27">
          <cell r="A27" t="str">
            <v>VR0015</v>
          </cell>
          <cell r="B27">
            <v>39807</v>
          </cell>
          <cell r="C27">
            <v>0.1627699</v>
          </cell>
        </row>
        <row r="28">
          <cell r="A28" t="str">
            <v>VR0016</v>
          </cell>
          <cell r="B28">
            <v>40019</v>
          </cell>
          <cell r="C28">
            <v>0.1579923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WA yield Graph"/>
      <sheetName val="Yield Curve"/>
      <sheetName val="July Calculation "/>
      <sheetName val="July sort by bond"/>
      <sheetName val="July sort by seller"/>
      <sheetName val="July sort by buyer"/>
      <sheetName val="July sort by name"/>
      <sheetName val="June Calculation "/>
      <sheetName val="May Calculation"/>
      <sheetName val="April Calculation"/>
      <sheetName val="March FR Calculation"/>
      <sheetName val="February FR Calculation"/>
      <sheetName val="January Calculation"/>
      <sheetName val="Bond Data"/>
      <sheetName val="WA_yield_Graph"/>
      <sheetName val="Yield_Curve"/>
      <sheetName val="July_Calculation_"/>
      <sheetName val="July_sort_by_bond"/>
      <sheetName val="July_sort_by_seller"/>
      <sheetName val="July_sort_by_buyer"/>
      <sheetName val="July_sort_by_name"/>
      <sheetName val="June_Calculation_"/>
      <sheetName val="May_Calculation"/>
      <sheetName val="April_Calculation"/>
      <sheetName val="March_FR_Calculation"/>
      <sheetName val="February_FR_Calculation"/>
      <sheetName val="January_Calculation"/>
      <sheetName val="Bond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A4" t="str">
            <v>FR0001</v>
          </cell>
          <cell r="B4">
            <v>38245</v>
          </cell>
          <cell r="C4">
            <v>0.12</v>
          </cell>
        </row>
        <row r="5">
          <cell r="A5" t="str">
            <v>FR0002</v>
          </cell>
          <cell r="B5">
            <v>39979</v>
          </cell>
          <cell r="C5">
            <v>0.14000000000000001</v>
          </cell>
        </row>
        <row r="6">
          <cell r="A6" t="str">
            <v>FR0003</v>
          </cell>
          <cell r="B6">
            <v>38487</v>
          </cell>
          <cell r="C6">
            <v>0.12</v>
          </cell>
        </row>
        <row r="7">
          <cell r="A7" t="str">
            <v>FR0004</v>
          </cell>
          <cell r="B7">
            <v>38763</v>
          </cell>
          <cell r="C7">
            <v>0.12125</v>
          </cell>
        </row>
        <row r="8">
          <cell r="A8" t="str">
            <v>FR0005</v>
          </cell>
          <cell r="B8">
            <v>39278</v>
          </cell>
          <cell r="C8">
            <v>0.1225</v>
          </cell>
        </row>
        <row r="9">
          <cell r="A9" t="str">
            <v>FR0006</v>
          </cell>
          <cell r="B9">
            <v>38245</v>
          </cell>
          <cell r="C9">
            <v>0.16500000000000001</v>
          </cell>
        </row>
        <row r="10">
          <cell r="A10" t="str">
            <v>FR0007</v>
          </cell>
          <cell r="B10">
            <v>38245</v>
          </cell>
          <cell r="C10">
            <v>0.1</v>
          </cell>
        </row>
        <row r="11">
          <cell r="A11" t="str">
            <v>FR0008</v>
          </cell>
          <cell r="B11">
            <v>38487</v>
          </cell>
          <cell r="C11">
            <v>0.16500000000000001</v>
          </cell>
        </row>
        <row r="12">
          <cell r="A12" t="str">
            <v>FR0009</v>
          </cell>
          <cell r="B12">
            <v>38487</v>
          </cell>
          <cell r="C12">
            <v>0.1</v>
          </cell>
        </row>
        <row r="13">
          <cell r="A13" t="str">
            <v>VR0001</v>
          </cell>
          <cell r="B13">
            <v>37462</v>
          </cell>
          <cell r="C13">
            <v>0.1579923</v>
          </cell>
        </row>
        <row r="14">
          <cell r="A14" t="str">
            <v>VR0002</v>
          </cell>
          <cell r="B14">
            <v>37677</v>
          </cell>
          <cell r="C14">
            <v>0.1579923</v>
          </cell>
        </row>
        <row r="15">
          <cell r="A15" t="str">
            <v>VR0003</v>
          </cell>
          <cell r="B15">
            <v>37797</v>
          </cell>
          <cell r="C15">
            <v>0.1627699</v>
          </cell>
        </row>
        <row r="16">
          <cell r="A16" t="str">
            <v>VR0004</v>
          </cell>
          <cell r="B16">
            <v>38011</v>
          </cell>
          <cell r="C16">
            <v>0.1579923</v>
          </cell>
        </row>
        <row r="17">
          <cell r="A17" t="str">
            <v>VR0005</v>
          </cell>
          <cell r="B17">
            <v>38132</v>
          </cell>
          <cell r="C17">
            <v>0.1579923</v>
          </cell>
        </row>
        <row r="18">
          <cell r="A18" t="str">
            <v>VR0006</v>
          </cell>
          <cell r="B18">
            <v>38346</v>
          </cell>
          <cell r="C18">
            <v>0.1627699</v>
          </cell>
        </row>
        <row r="19">
          <cell r="A19" t="str">
            <v>VR0007</v>
          </cell>
          <cell r="B19">
            <v>38467</v>
          </cell>
          <cell r="C19">
            <v>0.1579923</v>
          </cell>
        </row>
        <row r="20">
          <cell r="A20" t="str">
            <v>VR0008</v>
          </cell>
          <cell r="B20">
            <v>38681</v>
          </cell>
          <cell r="C20">
            <v>0.1579923</v>
          </cell>
        </row>
        <row r="21">
          <cell r="A21" t="str">
            <v>VR0009</v>
          </cell>
          <cell r="B21">
            <v>38801</v>
          </cell>
          <cell r="C21">
            <v>0.1627699</v>
          </cell>
        </row>
        <row r="22">
          <cell r="A22" t="str">
            <v>VR0010</v>
          </cell>
          <cell r="B22">
            <v>39015</v>
          </cell>
          <cell r="C22">
            <v>0.1579923</v>
          </cell>
        </row>
        <row r="23">
          <cell r="A23" t="str">
            <v>VR0011</v>
          </cell>
          <cell r="B23">
            <v>39138</v>
          </cell>
          <cell r="C23">
            <v>0.1579923</v>
          </cell>
        </row>
        <row r="24">
          <cell r="A24" t="str">
            <v>VR0012</v>
          </cell>
          <cell r="B24">
            <v>39350</v>
          </cell>
          <cell r="C24">
            <v>0.1627699</v>
          </cell>
        </row>
        <row r="25">
          <cell r="A25" t="str">
            <v>VR0013</v>
          </cell>
          <cell r="B25">
            <v>39472</v>
          </cell>
          <cell r="C25">
            <v>0.1579923</v>
          </cell>
        </row>
        <row r="26">
          <cell r="A26" t="str">
            <v>VR0014</v>
          </cell>
          <cell r="B26">
            <v>39685</v>
          </cell>
          <cell r="C26">
            <v>0.1579923</v>
          </cell>
        </row>
        <row r="27">
          <cell r="A27" t="str">
            <v>VR0015</v>
          </cell>
          <cell r="B27">
            <v>39807</v>
          </cell>
          <cell r="C27">
            <v>0.1627699</v>
          </cell>
        </row>
        <row r="28">
          <cell r="A28" t="str">
            <v>VR0016</v>
          </cell>
          <cell r="B28">
            <v>40019</v>
          </cell>
          <cell r="C28">
            <v>0.1579923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140625" defaultRowHeight="11.25" x14ac:dyDescent="0.2"/>
  <cols>
    <col min="1" max="2" width="11.28515625" style="2" customWidth="1"/>
    <col min="3" max="3" width="20.85546875" style="2" customWidth="1"/>
    <col min="4" max="4" width="11.28515625" style="2" customWidth="1"/>
    <col min="5" max="9" width="10.7109375" style="2" customWidth="1"/>
    <col min="10" max="11" width="10.140625" style="2" customWidth="1"/>
    <col min="12" max="12" width="13.5703125" style="2" bestFit="1" customWidth="1"/>
    <col min="13" max="13" width="18.140625" style="2" bestFit="1" customWidth="1"/>
    <col min="14" max="14" width="16.85546875" style="2" customWidth="1"/>
    <col min="15" max="15" width="16" style="2" bestFit="1" customWidth="1"/>
    <col min="16" max="16" width="10.85546875" style="2" customWidth="1"/>
    <col min="17" max="17" width="11.42578125" style="2" bestFit="1" customWidth="1"/>
    <col min="18" max="18" width="10" style="2" customWidth="1"/>
    <col min="19" max="20" width="12" style="2" bestFit="1" customWidth="1"/>
    <col min="21" max="24" width="9.140625" style="2"/>
    <col min="25" max="26" width="10.7109375" style="2" bestFit="1" customWidth="1"/>
    <col min="27" max="28" width="9.85546875" style="2" bestFit="1" customWidth="1"/>
    <col min="29" max="16384" width="9.140625" style="2"/>
  </cols>
  <sheetData>
    <row r="1" spans="1:28" x14ac:dyDescent="0.2">
      <c r="A1" s="1" t="s">
        <v>44</v>
      </c>
      <c r="B1" s="1"/>
    </row>
    <row r="3" spans="1:28" ht="33.75" x14ac:dyDescent="0.2">
      <c r="A3" s="63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3"/>
    </row>
    <row r="4" spans="1:28" ht="9.75" customHeight="1" x14ac:dyDescent="0.2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4"/>
    </row>
    <row r="5" spans="1:28" ht="13.5" customHeight="1" x14ac:dyDescent="0.2">
      <c r="A5" s="16">
        <v>2012</v>
      </c>
      <c r="B5" s="17"/>
      <c r="C5" s="18"/>
      <c r="D5" s="19"/>
      <c r="E5" s="20"/>
      <c r="F5" s="20"/>
      <c r="G5" s="20"/>
      <c r="H5" s="20"/>
      <c r="I5" s="20"/>
      <c r="J5" s="21"/>
      <c r="K5" s="21"/>
      <c r="L5" s="22"/>
      <c r="M5" s="23"/>
      <c r="N5" s="24"/>
      <c r="O5" s="22"/>
      <c r="P5" s="25"/>
      <c r="Q5" s="26"/>
      <c r="R5" s="55"/>
    </row>
    <row r="6" spans="1:28" ht="13.5" customHeight="1" x14ac:dyDescent="0.2">
      <c r="A6" s="60">
        <v>40918</v>
      </c>
      <c r="B6" s="61">
        <v>40920</v>
      </c>
      <c r="C6" s="18" t="s">
        <v>38</v>
      </c>
      <c r="D6" s="19">
        <v>41010</v>
      </c>
      <c r="E6" s="50">
        <v>0</v>
      </c>
      <c r="F6" s="27">
        <v>3.8124999999999999E-2</v>
      </c>
      <c r="G6" s="27">
        <v>4.2510300000000001E-2</v>
      </c>
      <c r="H6" s="27">
        <v>4.6249999999999999E-2</v>
      </c>
      <c r="I6" s="27">
        <v>3.8124999999999999E-2</v>
      </c>
      <c r="J6" s="28">
        <v>3.8699999999999998E-2</v>
      </c>
      <c r="K6" s="28">
        <v>3.9375E-2</v>
      </c>
      <c r="L6" s="22">
        <v>7000000</v>
      </c>
      <c r="M6" s="22">
        <v>5340000</v>
      </c>
      <c r="N6" s="22">
        <v>2100000</v>
      </c>
      <c r="O6" s="22">
        <v>1000000</v>
      </c>
      <c r="P6" s="46">
        <f>M6/O6</f>
        <v>5.34</v>
      </c>
      <c r="Q6" s="56">
        <v>0.04</v>
      </c>
      <c r="R6" s="56"/>
      <c r="S6" s="57">
        <f>O6*J6/$R$10</f>
        <v>39656643.565745413</v>
      </c>
      <c r="T6" s="57"/>
      <c r="Y6" s="39">
        <f>SUM(O6:O127)</f>
        <v>169717805</v>
      </c>
      <c r="Z6" s="39">
        <f>Y6-SUM(O11,O78,O80)</f>
        <v>169717805</v>
      </c>
      <c r="AA6" s="39">
        <f>SUM(O6:O63)</f>
        <v>98372805</v>
      </c>
      <c r="AB6" s="39">
        <f>Z6-AA6</f>
        <v>71345000</v>
      </c>
    </row>
    <row r="7" spans="1:28" ht="13.5" customHeight="1" x14ac:dyDescent="0.2">
      <c r="A7" s="60"/>
      <c r="B7" s="88"/>
      <c r="C7" s="18" t="s">
        <v>37</v>
      </c>
      <c r="D7" s="19">
        <v>41285</v>
      </c>
      <c r="E7" s="50"/>
      <c r="F7" s="27">
        <v>4.2500000000000003E-2</v>
      </c>
      <c r="G7" s="27">
        <v>4.64795E-2</v>
      </c>
      <c r="H7" s="27">
        <v>5.0937499999999997E-2</v>
      </c>
      <c r="I7" s="27">
        <v>4.2500000000000003E-2</v>
      </c>
      <c r="J7" s="28">
        <v>4.4999999999999998E-2</v>
      </c>
      <c r="K7" s="28">
        <v>4.5312499999999999E-2</v>
      </c>
      <c r="L7" s="22"/>
      <c r="M7" s="22">
        <v>8400000</v>
      </c>
      <c r="N7" s="22">
        <v>2350000</v>
      </c>
      <c r="O7" s="22">
        <v>2350000</v>
      </c>
      <c r="P7" s="46">
        <f>M7/O7</f>
        <v>3.5744680851063828</v>
      </c>
      <c r="Q7" s="56">
        <v>4.4999999999999998E-2</v>
      </c>
      <c r="R7" s="56"/>
      <c r="S7" s="57"/>
      <c r="T7" s="57"/>
      <c r="Z7" s="39">
        <v>270419408</v>
      </c>
    </row>
    <row r="8" spans="1:28" ht="13.5" customHeight="1" x14ac:dyDescent="0.2">
      <c r="A8" s="16"/>
      <c r="B8" s="17"/>
      <c r="C8" s="18" t="s">
        <v>34</v>
      </c>
      <c r="D8" s="19">
        <v>42840</v>
      </c>
      <c r="E8" s="27">
        <v>6.25E-2</v>
      </c>
      <c r="F8" s="27">
        <v>5.3749999999999999E-2</v>
      </c>
      <c r="G8" s="27">
        <v>5.5071799999999997E-2</v>
      </c>
      <c r="H8" s="27">
        <v>5.7500000000000002E-2</v>
      </c>
      <c r="I8" s="27">
        <v>5.3749999999999999E-2</v>
      </c>
      <c r="J8" s="28">
        <v>5.4477200000000003E-2</v>
      </c>
      <c r="K8" s="28">
        <v>5.5E-2</v>
      </c>
      <c r="L8" s="22"/>
      <c r="M8" s="22">
        <v>2001000</v>
      </c>
      <c r="N8" s="22">
        <v>800000</v>
      </c>
      <c r="O8" s="22">
        <v>800000</v>
      </c>
      <c r="P8" s="46">
        <f>M8/O8</f>
        <v>2.5012500000000002</v>
      </c>
      <c r="Q8" s="56">
        <v>5.45E-2</v>
      </c>
      <c r="R8" s="56">
        <f>O8*J8/$O$218</f>
        <v>1.6228675337265212E-4</v>
      </c>
      <c r="S8" s="57">
        <f>O8*J8/$R$10</f>
        <v>44659078.095293567</v>
      </c>
      <c r="T8" s="57"/>
      <c r="Z8" s="102">
        <f>Z6/Z7</f>
        <v>0.62760955752110814</v>
      </c>
      <c r="AA8" s="102">
        <f>AA6/Z7</f>
        <v>0.36377864195309534</v>
      </c>
      <c r="AB8" s="102">
        <f>AB6/Z7</f>
        <v>0.2638309155680128</v>
      </c>
    </row>
    <row r="9" spans="1:28" ht="13.5" customHeight="1" x14ac:dyDescent="0.2">
      <c r="A9" s="16"/>
      <c r="B9" s="17"/>
      <c r="C9" s="18" t="s">
        <v>35</v>
      </c>
      <c r="D9" s="19">
        <v>44696</v>
      </c>
      <c r="E9" s="27">
        <v>7.0000000000000007E-2</v>
      </c>
      <c r="F9" s="27">
        <v>6.1874999999999999E-2</v>
      </c>
      <c r="G9" s="27">
        <v>6.2820100000000004E-2</v>
      </c>
      <c r="H9" s="27">
        <v>6.4687499999999995E-2</v>
      </c>
      <c r="I9" s="27">
        <v>6.1874999999999999E-2</v>
      </c>
      <c r="J9" s="28">
        <v>6.2399799999999998E-2</v>
      </c>
      <c r="K9" s="28">
        <v>6.25E-2</v>
      </c>
      <c r="L9" s="22"/>
      <c r="M9" s="22">
        <v>4642000</v>
      </c>
      <c r="N9" s="22">
        <v>2200000</v>
      </c>
      <c r="O9" s="22">
        <v>2200000</v>
      </c>
      <c r="P9" s="46">
        <f>M9/O9</f>
        <v>2.11</v>
      </c>
      <c r="Q9" s="56">
        <v>6.2399999999999997E-2</v>
      </c>
      <c r="R9" s="56">
        <f>O9*J9/$O$218</f>
        <v>5.1119216151037034E-4</v>
      </c>
      <c r="S9" s="57">
        <f>O9*J9/$R$10</f>
        <v>140673038.23727033</v>
      </c>
      <c r="T9" s="57"/>
    </row>
    <row r="10" spans="1:28" ht="13.5" customHeight="1" x14ac:dyDescent="0.2">
      <c r="A10" s="16"/>
      <c r="B10" s="17"/>
      <c r="C10" s="18" t="s">
        <v>32</v>
      </c>
      <c r="D10" s="19">
        <v>48380</v>
      </c>
      <c r="E10" s="27">
        <v>8.2500000000000004E-2</v>
      </c>
      <c r="F10" s="27">
        <v>7.1249999999999994E-2</v>
      </c>
      <c r="G10" s="27">
        <v>7.21778E-2</v>
      </c>
      <c r="H10" s="27">
        <v>7.8125E-2</v>
      </c>
      <c r="I10" s="27">
        <v>7.1249999999999994E-2</v>
      </c>
      <c r="J10" s="28">
        <v>7.17999E-2</v>
      </c>
      <c r="K10" s="28">
        <v>7.2187500000000002E-2</v>
      </c>
      <c r="L10" s="22"/>
      <c r="M10" s="22">
        <v>7286000</v>
      </c>
      <c r="N10" s="22">
        <v>3650000</v>
      </c>
      <c r="O10" s="22">
        <v>3650000</v>
      </c>
      <c r="P10" s="46">
        <f>M10/O10</f>
        <v>1.9961643835616438</v>
      </c>
      <c r="Q10" s="56">
        <v>7.1800000000000003E-2</v>
      </c>
      <c r="R10" s="56">
        <f>O10*J10/$O$218</f>
        <v>9.7587683979963086E-4</v>
      </c>
      <c r="S10" s="57">
        <f>O10*J10/$R$10</f>
        <v>268547858</v>
      </c>
      <c r="T10" s="62">
        <f>SUM(S6:S10)</f>
        <v>493536617.89830929</v>
      </c>
    </row>
    <row r="11" spans="1:28" s="71" customFormat="1" ht="13.5" customHeight="1" x14ac:dyDescent="0.2">
      <c r="A11" s="76">
        <v>40918</v>
      </c>
      <c r="B11" s="72">
        <v>40925</v>
      </c>
      <c r="C11" s="77" t="s">
        <v>39</v>
      </c>
      <c r="D11" s="78">
        <v>51883</v>
      </c>
      <c r="E11" s="79">
        <v>5.2499999999999998E-2</v>
      </c>
      <c r="F11" s="80"/>
      <c r="G11" s="80"/>
      <c r="H11" s="80"/>
      <c r="I11" s="80"/>
      <c r="J11" s="81"/>
      <c r="K11" s="81"/>
      <c r="L11" s="82">
        <v>22630000</v>
      </c>
      <c r="M11" s="83" t="s">
        <v>41</v>
      </c>
      <c r="N11" s="83" t="s">
        <v>40</v>
      </c>
      <c r="O11" s="83" t="s">
        <v>40</v>
      </c>
      <c r="P11" s="84"/>
      <c r="Q11" s="85"/>
      <c r="R11" s="56"/>
      <c r="U11" s="71">
        <f>3600*U12</f>
        <v>32976000</v>
      </c>
      <c r="V11" s="71">
        <f>U12*1750</f>
        <v>16030000</v>
      </c>
      <c r="W11" s="71">
        <f>U12*1750</f>
        <v>16030000</v>
      </c>
    </row>
    <row r="12" spans="1:28" s="71" customFormat="1" ht="13.5" customHeight="1" x14ac:dyDescent="0.2">
      <c r="A12" s="73"/>
      <c r="B12" s="74"/>
      <c r="C12" s="64"/>
      <c r="D12" s="65"/>
      <c r="E12" s="75"/>
      <c r="F12" s="66"/>
      <c r="G12" s="66"/>
      <c r="H12" s="66"/>
      <c r="I12" s="66"/>
      <c r="J12" s="67"/>
      <c r="K12" s="67"/>
      <c r="L12" s="68"/>
      <c r="M12" s="68">
        <f>U11</f>
        <v>32976000</v>
      </c>
      <c r="N12" s="68">
        <f>V11</f>
        <v>16030000</v>
      </c>
      <c r="O12" s="68">
        <f>W11</f>
        <v>16030000</v>
      </c>
      <c r="P12" s="69">
        <f t="shared" ref="P12:P17" si="0">M12/O12</f>
        <v>2.0571428571428569</v>
      </c>
      <c r="Q12" s="70"/>
      <c r="R12" s="56">
        <f>O12*J12/$O$218</f>
        <v>0</v>
      </c>
      <c r="U12" s="71">
        <v>9160</v>
      </c>
      <c r="Y12" s="71">
        <v>2009</v>
      </c>
      <c r="Z12" s="71">
        <v>29.73</v>
      </c>
      <c r="AA12" s="71">
        <v>30.35</v>
      </c>
      <c r="AB12" s="71">
        <f>Z12+AA12</f>
        <v>60.08</v>
      </c>
    </row>
    <row r="13" spans="1:28" ht="13.5" customHeight="1" x14ac:dyDescent="0.2">
      <c r="A13" s="89">
        <v>40934</v>
      </c>
      <c r="B13" s="90">
        <v>40938</v>
      </c>
      <c r="C13" s="91" t="s">
        <v>42</v>
      </c>
      <c r="D13" s="92">
        <v>41028</v>
      </c>
      <c r="E13" s="93">
        <v>0</v>
      </c>
      <c r="F13" s="94">
        <v>1.7500000000000002E-2</v>
      </c>
      <c r="G13" s="94">
        <v>2.8961600000000001E-2</v>
      </c>
      <c r="H13" s="94">
        <v>4.6875E-2</v>
      </c>
      <c r="I13" s="94">
        <v>1.7500000000000002E-2</v>
      </c>
      <c r="J13" s="95">
        <v>1.92383E-2</v>
      </c>
      <c r="K13" s="95">
        <v>2.1874999999999999E-2</v>
      </c>
      <c r="L13" s="96">
        <v>7000000</v>
      </c>
      <c r="M13" s="96">
        <v>12480000</v>
      </c>
      <c r="N13" s="96">
        <v>10550000</v>
      </c>
      <c r="O13" s="96">
        <v>800000</v>
      </c>
      <c r="P13" s="97">
        <f t="shared" si="0"/>
        <v>15.6</v>
      </c>
      <c r="Q13" s="98">
        <v>2.75E-2</v>
      </c>
      <c r="R13" s="56"/>
      <c r="S13" s="57">
        <f>O13*J13/$R$10</f>
        <v>15771088.494281758</v>
      </c>
      <c r="T13" s="57"/>
      <c r="Y13" s="2">
        <v>2010</v>
      </c>
      <c r="Z13" s="2">
        <v>34.630000000000003</v>
      </c>
      <c r="AA13" s="2">
        <v>35.58</v>
      </c>
      <c r="AB13" s="71">
        <f>Z13+AA13</f>
        <v>70.210000000000008</v>
      </c>
    </row>
    <row r="14" spans="1:28" ht="13.5" customHeight="1" x14ac:dyDescent="0.2">
      <c r="A14" s="100"/>
      <c r="B14" s="99"/>
      <c r="C14" s="91" t="s">
        <v>37</v>
      </c>
      <c r="D14" s="92">
        <v>41285</v>
      </c>
      <c r="E14" s="93">
        <v>0</v>
      </c>
      <c r="F14" s="94">
        <v>3.3750000000000002E-2</v>
      </c>
      <c r="G14" s="94">
        <v>3.8882899999999998E-2</v>
      </c>
      <c r="H14" s="94">
        <v>4.2500000000000003E-2</v>
      </c>
      <c r="I14" s="94">
        <v>3.3750000000000002E-2</v>
      </c>
      <c r="J14" s="95">
        <v>3.3750000000000002E-2</v>
      </c>
      <c r="K14" s="95">
        <v>3.3750000000000002E-2</v>
      </c>
      <c r="L14" s="96"/>
      <c r="M14" s="96">
        <v>12295000</v>
      </c>
      <c r="N14" s="96">
        <v>2000000</v>
      </c>
      <c r="O14" s="96">
        <v>1000000</v>
      </c>
      <c r="P14" s="97">
        <f t="shared" si="0"/>
        <v>12.295</v>
      </c>
      <c r="Q14" s="98">
        <v>3.5000000000000003E-2</v>
      </c>
      <c r="R14" s="56"/>
      <c r="S14" s="57"/>
      <c r="T14" s="57"/>
      <c r="Y14" s="71">
        <v>2011</v>
      </c>
      <c r="Z14" s="2">
        <v>29.53</v>
      </c>
      <c r="AA14" s="2">
        <v>25.94</v>
      </c>
      <c r="AB14" s="71">
        <f>Z14+AA14</f>
        <v>55.47</v>
      </c>
    </row>
    <row r="15" spans="1:28" ht="13.5" customHeight="1" x14ac:dyDescent="0.2">
      <c r="A15" s="100"/>
      <c r="B15" s="101"/>
      <c r="C15" s="91" t="s">
        <v>35</v>
      </c>
      <c r="D15" s="92">
        <v>44696</v>
      </c>
      <c r="E15" s="94">
        <v>7.0000000000000007E-2</v>
      </c>
      <c r="F15" s="94">
        <v>5.5E-2</v>
      </c>
      <c r="G15" s="94">
        <v>5.6320200000000001E-2</v>
      </c>
      <c r="H15" s="94">
        <v>5.7500000000000002E-2</v>
      </c>
      <c r="I15" s="94">
        <v>5.5E-2</v>
      </c>
      <c r="J15" s="95">
        <v>5.5782100000000001E-2</v>
      </c>
      <c r="K15" s="95">
        <v>5.5937500000000001E-2</v>
      </c>
      <c r="L15" s="96"/>
      <c r="M15" s="96">
        <v>6109000</v>
      </c>
      <c r="N15" s="96">
        <v>3600000</v>
      </c>
      <c r="O15" s="96">
        <v>2100000</v>
      </c>
      <c r="P15" s="97">
        <f t="shared" si="0"/>
        <v>2.9090476190476191</v>
      </c>
      <c r="Q15" s="98">
        <v>5.6000000000000001E-2</v>
      </c>
      <c r="R15" s="56">
        <f>O15*J15/$O$218</f>
        <v>4.3620683059032256E-4</v>
      </c>
      <c r="S15" s="57">
        <f>O15*J15/$R$10</f>
        <v>120038108.52202614</v>
      </c>
      <c r="T15" s="57"/>
      <c r="Y15" s="2">
        <v>2012</v>
      </c>
      <c r="AB15" s="2">
        <v>62.76</v>
      </c>
    </row>
    <row r="16" spans="1:28" ht="13.5" customHeight="1" x14ac:dyDescent="0.2">
      <c r="A16" s="100"/>
      <c r="B16" s="101"/>
      <c r="C16" s="91" t="s">
        <v>43</v>
      </c>
      <c r="D16" s="92">
        <v>46522</v>
      </c>
      <c r="E16" s="94">
        <v>7.0000000000000007E-2</v>
      </c>
      <c r="F16" s="94">
        <v>6.1249999999999999E-2</v>
      </c>
      <c r="G16" s="94">
        <v>6.2487399999999999E-2</v>
      </c>
      <c r="H16" s="94">
        <v>6.4687499999999995E-2</v>
      </c>
      <c r="I16" s="94">
        <v>6.1249999999999999E-2</v>
      </c>
      <c r="J16" s="95">
        <v>6.1973399999999998E-2</v>
      </c>
      <c r="K16" s="95">
        <v>6.25E-2</v>
      </c>
      <c r="L16" s="96"/>
      <c r="M16" s="96">
        <v>7421000</v>
      </c>
      <c r="N16" s="96">
        <v>3550000</v>
      </c>
      <c r="O16" s="96">
        <v>3400000</v>
      </c>
      <c r="P16" s="97">
        <f t="shared" si="0"/>
        <v>2.1826470588235294</v>
      </c>
      <c r="Q16" s="98">
        <v>6.2E-2</v>
      </c>
      <c r="R16" s="56">
        <f>O16*J16/$O$218</f>
        <v>7.8462573326501821E-4</v>
      </c>
      <c r="S16" s="57">
        <f>O16*J16/$R$10</f>
        <v>215918189.06498832</v>
      </c>
      <c r="T16" s="57"/>
      <c r="Y16" s="71">
        <v>2013</v>
      </c>
      <c r="AB16" s="2">
        <f>AVERAGE(AB12:AB15)</f>
        <v>62.13</v>
      </c>
    </row>
    <row r="17" spans="1:20" ht="13.5" customHeight="1" x14ac:dyDescent="0.2">
      <c r="A17" s="100"/>
      <c r="B17" s="101"/>
      <c r="C17" s="91" t="s">
        <v>32</v>
      </c>
      <c r="D17" s="92">
        <v>48380</v>
      </c>
      <c r="E17" s="94">
        <v>8.2500000000000004E-2</v>
      </c>
      <c r="F17" s="94">
        <v>5.7500000000000002E-2</v>
      </c>
      <c r="G17" s="94">
        <v>6.7082199999999995E-2</v>
      </c>
      <c r="H17" s="94">
        <v>6.8750000000000006E-2</v>
      </c>
      <c r="I17" s="94">
        <v>5.7500000000000002E-2</v>
      </c>
      <c r="J17" s="95">
        <v>6.64907E-2</v>
      </c>
      <c r="K17" s="95">
        <v>6.6562499999999997E-2</v>
      </c>
      <c r="L17" s="96"/>
      <c r="M17" s="96">
        <v>11829500</v>
      </c>
      <c r="N17" s="96">
        <v>5300000</v>
      </c>
      <c r="O17" s="96">
        <v>3200000</v>
      </c>
      <c r="P17" s="97">
        <f t="shared" si="0"/>
        <v>3.6967187500000001</v>
      </c>
      <c r="Q17" s="98">
        <v>6.6600000000000006E-2</v>
      </c>
      <c r="R17" s="56">
        <f>O17*J17/$O$218</f>
        <v>7.9229915138626799E-4</v>
      </c>
      <c r="S17" s="57">
        <f>O17*J17/$R$10</f>
        <v>218029807.98651439</v>
      </c>
      <c r="T17" s="62">
        <f>SUM(S13:S17)</f>
        <v>569757194.06781054</v>
      </c>
    </row>
    <row r="18" spans="1:20" ht="13.5" customHeight="1" x14ac:dyDescent="0.2">
      <c r="A18" s="60">
        <v>40939</v>
      </c>
      <c r="B18" s="61">
        <v>40941</v>
      </c>
      <c r="C18" s="18" t="s">
        <v>48</v>
      </c>
      <c r="D18" s="19">
        <v>43115</v>
      </c>
      <c r="E18" s="50">
        <v>0</v>
      </c>
      <c r="F18" s="27">
        <v>5.1874999999999998E-2</v>
      </c>
      <c r="G18" s="27"/>
      <c r="H18" s="27">
        <v>6.6250000000000003E-2</v>
      </c>
      <c r="I18" s="27"/>
      <c r="J18" s="28"/>
      <c r="K18" s="28"/>
      <c r="L18" s="22">
        <v>1000000</v>
      </c>
      <c r="M18" s="22">
        <v>573000</v>
      </c>
      <c r="N18" s="22"/>
      <c r="O18" s="22"/>
      <c r="P18" s="46"/>
      <c r="Q18" s="56"/>
      <c r="R18" s="56"/>
      <c r="S18" s="57">
        <f>O18*J18/$R$10</f>
        <v>0</v>
      </c>
      <c r="T18" s="57"/>
    </row>
    <row r="19" spans="1:20" ht="13.5" customHeight="1" x14ac:dyDescent="0.2">
      <c r="A19" s="60"/>
      <c r="B19" s="88"/>
      <c r="C19" s="18" t="s">
        <v>49</v>
      </c>
      <c r="D19" s="19">
        <v>44576</v>
      </c>
      <c r="E19" s="50"/>
      <c r="F19" s="27">
        <v>5.5E-2</v>
      </c>
      <c r="G19" s="27"/>
      <c r="H19" s="27">
        <v>6.5000000000000002E-2</v>
      </c>
      <c r="I19" s="27">
        <v>5.5E-2</v>
      </c>
      <c r="J19" s="28">
        <v>5.5379499999999998E-2</v>
      </c>
      <c r="K19" s="28"/>
      <c r="L19" s="22"/>
      <c r="M19" s="22">
        <v>536000</v>
      </c>
      <c r="N19" s="22">
        <v>415000</v>
      </c>
      <c r="O19" s="22">
        <v>415000</v>
      </c>
      <c r="P19" s="46">
        <f t="shared" ref="P19:P26" si="1">M19/O19</f>
        <v>1.2915662650602409</v>
      </c>
      <c r="Q19" s="56"/>
      <c r="R19" s="56"/>
      <c r="S19" s="57"/>
      <c r="T19" s="57"/>
    </row>
    <row r="20" spans="1:20" ht="13.5" customHeight="1" x14ac:dyDescent="0.2">
      <c r="A20" s="16"/>
      <c r="B20" s="17"/>
      <c r="C20" s="18" t="s">
        <v>50</v>
      </c>
      <c r="D20" s="19">
        <v>46402</v>
      </c>
      <c r="E20" s="27"/>
      <c r="F20" s="27">
        <v>6.0624999999999998E-2</v>
      </c>
      <c r="G20" s="27"/>
      <c r="H20" s="27">
        <v>7.0624999999999993E-2</v>
      </c>
      <c r="I20" s="27">
        <v>6.0624999999999998E-2</v>
      </c>
      <c r="J20" s="28">
        <v>6.2141200000000001E-2</v>
      </c>
      <c r="K20" s="28"/>
      <c r="L20" s="22"/>
      <c r="M20" s="22">
        <v>1391000</v>
      </c>
      <c r="N20" s="22">
        <v>510000</v>
      </c>
      <c r="O20" s="22">
        <v>510000</v>
      </c>
      <c r="P20" s="46">
        <f t="shared" si="1"/>
        <v>2.7274509803921569</v>
      </c>
      <c r="Q20" s="56"/>
      <c r="R20" s="56">
        <f>O20*J20/$O$218</f>
        <v>1.1801252944642738E-4</v>
      </c>
      <c r="S20" s="57">
        <f>O20*J20/$R$10</f>
        <v>32475421.802721612</v>
      </c>
      <c r="T20" s="57"/>
    </row>
    <row r="21" spans="1:20" ht="13.5" customHeight="1" x14ac:dyDescent="0.2">
      <c r="A21" s="16"/>
      <c r="B21" s="17"/>
      <c r="C21" s="18" t="s">
        <v>51</v>
      </c>
      <c r="D21" s="19">
        <v>49720</v>
      </c>
      <c r="E21" s="27">
        <v>0.1</v>
      </c>
      <c r="F21" s="27">
        <v>6.5625000000000003E-2</v>
      </c>
      <c r="G21" s="27"/>
      <c r="H21" s="27">
        <v>7.4999999999999997E-2</v>
      </c>
      <c r="I21" s="27">
        <v>6.5625000000000003E-2</v>
      </c>
      <c r="J21" s="28">
        <v>6.8074800000000005E-2</v>
      </c>
      <c r="K21" s="28"/>
      <c r="L21" s="22"/>
      <c r="M21" s="22">
        <v>1676000</v>
      </c>
      <c r="N21" s="22">
        <v>400000</v>
      </c>
      <c r="O21" s="22">
        <v>400000</v>
      </c>
      <c r="P21" s="46">
        <f t="shared" si="1"/>
        <v>4.1900000000000004</v>
      </c>
      <c r="Q21" s="56"/>
      <c r="R21" s="56">
        <f>O21*J21/$O$218</f>
        <v>1.0139689887230455E-4</v>
      </c>
      <c r="S21" s="57">
        <f>O21*J21/$R$10</f>
        <v>27903029.244541667</v>
      </c>
      <c r="T21" s="57"/>
    </row>
    <row r="22" spans="1:20" ht="13.5" customHeight="1" x14ac:dyDescent="0.2">
      <c r="A22" s="89">
        <v>40946</v>
      </c>
      <c r="B22" s="90">
        <v>40948</v>
      </c>
      <c r="C22" s="91" t="s">
        <v>45</v>
      </c>
      <c r="D22" s="92">
        <v>41037</v>
      </c>
      <c r="E22" s="93">
        <v>0</v>
      </c>
      <c r="F22" s="94">
        <v>1.4999999999999999E-2</v>
      </c>
      <c r="G22" s="94">
        <v>1.99528E-2</v>
      </c>
      <c r="H22" s="94">
        <v>3.2500000000000001E-2</v>
      </c>
      <c r="I22" s="94">
        <v>1.4999999999999999E-2</v>
      </c>
      <c r="J22" s="95">
        <v>1.6862499999999999E-2</v>
      </c>
      <c r="K22" s="95">
        <v>1.90625E-2</v>
      </c>
      <c r="L22" s="96">
        <v>8000000</v>
      </c>
      <c r="M22" s="96">
        <v>4535000</v>
      </c>
      <c r="N22" s="96">
        <v>4535000</v>
      </c>
      <c r="O22" s="96">
        <v>1000000</v>
      </c>
      <c r="P22" s="97">
        <f t="shared" si="1"/>
        <v>4.5350000000000001</v>
      </c>
      <c r="Q22" s="98">
        <v>0.02</v>
      </c>
      <c r="R22" s="56"/>
      <c r="S22" s="57">
        <f>O22*J22/$R$10</f>
        <v>17279332.09631478</v>
      </c>
      <c r="T22" s="57"/>
    </row>
    <row r="23" spans="1:20" ht="13.5" customHeight="1" x14ac:dyDescent="0.2">
      <c r="A23" s="100"/>
      <c r="B23" s="99"/>
      <c r="C23" s="91" t="s">
        <v>46</v>
      </c>
      <c r="D23" s="92">
        <v>41313</v>
      </c>
      <c r="E23" s="93">
        <v>0</v>
      </c>
      <c r="F23" s="94">
        <v>0.03</v>
      </c>
      <c r="G23" s="94">
        <v>3.3719499999999999E-2</v>
      </c>
      <c r="H23" s="94">
        <v>4.4374999999999998E-2</v>
      </c>
      <c r="I23" s="94">
        <v>0.03</v>
      </c>
      <c r="J23" s="95">
        <v>3.0232100000000001E-2</v>
      </c>
      <c r="K23" s="95">
        <v>3.125E-2</v>
      </c>
      <c r="L23" s="96"/>
      <c r="M23" s="96">
        <v>6075000</v>
      </c>
      <c r="N23" s="96">
        <v>6075000</v>
      </c>
      <c r="O23" s="96">
        <v>1000000</v>
      </c>
      <c r="P23" s="97">
        <f t="shared" si="1"/>
        <v>6.0750000000000002</v>
      </c>
      <c r="Q23" s="98">
        <v>3.5000000000000003E-2</v>
      </c>
      <c r="R23" s="56"/>
      <c r="S23" s="57"/>
      <c r="T23" s="57"/>
    </row>
    <row r="24" spans="1:20" ht="13.5" customHeight="1" x14ac:dyDescent="0.2">
      <c r="A24" s="100"/>
      <c r="B24" s="101"/>
      <c r="C24" s="91" t="s">
        <v>43</v>
      </c>
      <c r="D24" s="92">
        <v>46522</v>
      </c>
      <c r="E24" s="94">
        <v>7.0000000000000007E-2</v>
      </c>
      <c r="F24" s="94">
        <v>5.6562500000000002E-2</v>
      </c>
      <c r="G24" s="94">
        <v>5.7902200000000001E-2</v>
      </c>
      <c r="H24" s="94">
        <v>5.9062499999999997E-2</v>
      </c>
      <c r="I24" s="94">
        <v>5.6562500000000002E-2</v>
      </c>
      <c r="J24" s="95">
        <v>5.7464300000000003E-2</v>
      </c>
      <c r="K24" s="95">
        <v>5.7500000000000002E-2</v>
      </c>
      <c r="L24" s="96"/>
      <c r="M24" s="96">
        <v>8177000</v>
      </c>
      <c r="N24" s="96">
        <v>4100000</v>
      </c>
      <c r="O24" s="96">
        <v>3450000</v>
      </c>
      <c r="P24" s="97">
        <f t="shared" si="1"/>
        <v>2.3701449275362321</v>
      </c>
      <c r="Q24" s="98">
        <v>5.7500000000000002E-2</v>
      </c>
      <c r="R24" s="56">
        <f>O24*J24/$O$24</f>
        <v>5.7464300000000003E-2</v>
      </c>
      <c r="S24" s="57">
        <f>O24*J24/$R$10</f>
        <v>203152515.68087783</v>
      </c>
      <c r="T24" s="57"/>
    </row>
    <row r="25" spans="1:20" ht="13.5" customHeight="1" x14ac:dyDescent="0.2">
      <c r="A25" s="100"/>
      <c r="B25" s="101"/>
      <c r="C25" s="91" t="s">
        <v>32</v>
      </c>
      <c r="D25" s="92">
        <v>48380</v>
      </c>
      <c r="E25" s="94">
        <v>8.2500000000000004E-2</v>
      </c>
      <c r="F25" s="94">
        <v>6.1249999999999999E-2</v>
      </c>
      <c r="G25" s="94">
        <v>6.2410500000000001E-2</v>
      </c>
      <c r="H25" s="94">
        <v>6.4687499999999995E-2</v>
      </c>
      <c r="I25" s="94">
        <v>6.1249999999999999E-2</v>
      </c>
      <c r="J25" s="95">
        <v>6.1781299999999997E-2</v>
      </c>
      <c r="K25" s="95">
        <v>6.1874999999999999E-2</v>
      </c>
      <c r="L25" s="96"/>
      <c r="M25" s="96">
        <v>9233500</v>
      </c>
      <c r="N25" s="96">
        <v>7350000</v>
      </c>
      <c r="O25" s="96">
        <v>2000000</v>
      </c>
      <c r="P25" s="97">
        <f t="shared" si="1"/>
        <v>4.6167499999999997</v>
      </c>
      <c r="Q25" s="98">
        <v>6.2199999999999998E-2</v>
      </c>
      <c r="R25" s="56">
        <f>O25*J25/$O$24</f>
        <v>3.5815246376811591E-2</v>
      </c>
      <c r="S25" s="57">
        <f>O25*J25/$R$10</f>
        <v>126617002.2288572</v>
      </c>
      <c r="T25" s="57"/>
    </row>
    <row r="26" spans="1:20" ht="13.5" customHeight="1" x14ac:dyDescent="0.2">
      <c r="A26" s="100"/>
      <c r="B26" s="101"/>
      <c r="C26" s="91" t="s">
        <v>47</v>
      </c>
      <c r="D26" s="92">
        <v>51971</v>
      </c>
      <c r="E26" s="94">
        <v>6.3750000000000001E-2</v>
      </c>
      <c r="F26" s="94">
        <v>6.3125000000000001E-2</v>
      </c>
      <c r="G26" s="94">
        <v>6.5730700000000003E-2</v>
      </c>
      <c r="H26" s="94">
        <v>7.0000000000000007E-2</v>
      </c>
      <c r="I26" s="94">
        <v>6.3125000000000001E-2</v>
      </c>
      <c r="J26" s="95">
        <v>6.4899399999999996E-2</v>
      </c>
      <c r="K26" s="95">
        <v>6.5000000000000002E-2</v>
      </c>
      <c r="L26" s="96"/>
      <c r="M26" s="96">
        <v>14362500</v>
      </c>
      <c r="N26" s="96">
        <v>6000000</v>
      </c>
      <c r="O26" s="96">
        <v>4550000</v>
      </c>
      <c r="P26" s="97">
        <f t="shared" si="1"/>
        <v>3.1565934065934065</v>
      </c>
      <c r="Q26" s="98">
        <v>6.5000000000000002E-2</v>
      </c>
      <c r="R26" s="56">
        <f>O26*J26/$O$24</f>
        <v>8.5591962318840573E-2</v>
      </c>
      <c r="S26" s="57">
        <f>O26*J26/$R$10</f>
        <v>302591738.99508673</v>
      </c>
      <c r="T26" s="62">
        <f>SUM(S22:S26)</f>
        <v>649640589.00113654</v>
      </c>
    </row>
    <row r="27" spans="1:20" ht="13.5" customHeight="1" x14ac:dyDescent="0.2">
      <c r="A27" s="60">
        <v>40953</v>
      </c>
      <c r="B27" s="61">
        <v>40955</v>
      </c>
      <c r="C27" s="18" t="s">
        <v>52</v>
      </c>
      <c r="D27" s="19"/>
      <c r="E27" s="50">
        <v>0</v>
      </c>
      <c r="F27" s="27">
        <v>3.7187499999999998E-2</v>
      </c>
      <c r="G27" s="27"/>
      <c r="H27" s="27">
        <v>4.2500000000000003E-2</v>
      </c>
      <c r="I27" s="27"/>
      <c r="J27" s="28"/>
      <c r="K27" s="28"/>
      <c r="L27" s="22">
        <v>1000000</v>
      </c>
      <c r="M27" s="22">
        <v>2331000</v>
      </c>
      <c r="N27" s="22"/>
      <c r="O27" s="22"/>
      <c r="P27" s="46"/>
      <c r="Q27" s="56"/>
      <c r="R27" s="56"/>
      <c r="S27" s="57">
        <f>O27*J27/$R$10</f>
        <v>0</v>
      </c>
      <c r="T27" s="57"/>
    </row>
    <row r="28" spans="1:20" ht="13.5" customHeight="1" x14ac:dyDescent="0.2">
      <c r="A28" s="60"/>
      <c r="B28" s="88"/>
      <c r="C28" s="18" t="s">
        <v>48</v>
      </c>
      <c r="D28" s="19">
        <v>43146</v>
      </c>
      <c r="E28" s="103">
        <v>4.4499999999999998E-2</v>
      </c>
      <c r="F28" s="27">
        <v>4.71875E-2</v>
      </c>
      <c r="G28" s="27"/>
      <c r="H28" s="27">
        <v>4.65625E-2</v>
      </c>
      <c r="I28" s="27">
        <v>4.71875E-2</v>
      </c>
      <c r="J28" s="27">
        <v>4.71875E-2</v>
      </c>
      <c r="K28" s="28"/>
      <c r="L28" s="22"/>
      <c r="M28" s="22">
        <v>246000</v>
      </c>
      <c r="N28" s="22">
        <v>25000</v>
      </c>
      <c r="O28" s="22">
        <v>25000</v>
      </c>
      <c r="P28" s="46">
        <f t="shared" ref="P28:P37" si="2">M28/O28</f>
        <v>9.84</v>
      </c>
      <c r="Q28" s="56"/>
      <c r="R28" s="56"/>
      <c r="S28" s="57"/>
      <c r="T28" s="57"/>
    </row>
    <row r="29" spans="1:20" ht="13.5" customHeight="1" x14ac:dyDescent="0.2">
      <c r="A29" s="16"/>
      <c r="B29" s="17"/>
      <c r="C29" s="18" t="s">
        <v>49</v>
      </c>
      <c r="D29" s="19">
        <v>44576</v>
      </c>
      <c r="E29" s="50"/>
      <c r="F29" s="27">
        <v>5.3124999999999999E-2</v>
      </c>
      <c r="G29" s="27"/>
      <c r="H29" s="27">
        <v>5.7500000000000002E-2</v>
      </c>
      <c r="I29" s="27"/>
      <c r="J29" s="28"/>
      <c r="K29" s="28"/>
      <c r="L29" s="22"/>
      <c r="M29" s="22">
        <v>219000</v>
      </c>
      <c r="N29" s="22"/>
      <c r="O29" s="22"/>
      <c r="P29" s="46"/>
      <c r="Q29" s="56"/>
      <c r="R29" s="56">
        <f>O29*J29/$O$218</f>
        <v>0</v>
      </c>
      <c r="S29" s="57">
        <f>O29*J29/$R$10</f>
        <v>0</v>
      </c>
      <c r="T29" s="57"/>
    </row>
    <row r="30" spans="1:20" ht="13.5" customHeight="1" x14ac:dyDescent="0.2">
      <c r="A30" s="16"/>
      <c r="B30" s="17"/>
      <c r="C30" s="18" t="s">
        <v>50</v>
      </c>
      <c r="D30" s="19">
        <v>46402</v>
      </c>
      <c r="E30" s="27">
        <v>0.06</v>
      </c>
      <c r="F30" s="27">
        <v>5.7187500000000002E-2</v>
      </c>
      <c r="G30" s="27"/>
      <c r="H30" s="27">
        <v>6.3125000000000001E-2</v>
      </c>
      <c r="I30" s="27">
        <v>5.7187500000000002E-2</v>
      </c>
      <c r="J30" s="28">
        <v>5.7500000000000002E-2</v>
      </c>
      <c r="K30" s="28"/>
      <c r="L30" s="22"/>
      <c r="M30" s="22">
        <v>476000</v>
      </c>
      <c r="N30" s="22">
        <v>100000</v>
      </c>
      <c r="O30" s="22">
        <v>100000</v>
      </c>
      <c r="P30" s="46">
        <f t="shared" si="2"/>
        <v>4.76</v>
      </c>
      <c r="Q30" s="56"/>
      <c r="R30" s="56"/>
      <c r="S30" s="57"/>
      <c r="T30" s="57"/>
    </row>
    <row r="31" spans="1:20" ht="13.5" customHeight="1" x14ac:dyDescent="0.2">
      <c r="A31" s="16"/>
      <c r="B31" s="17"/>
      <c r="C31" s="18" t="s">
        <v>53</v>
      </c>
      <c r="D31" s="19">
        <v>50086</v>
      </c>
      <c r="E31" s="27">
        <v>6.0999999999999999E-2</v>
      </c>
      <c r="F31" s="27">
        <v>6.1562499999999999E-2</v>
      </c>
      <c r="G31" s="27"/>
      <c r="H31" s="27">
        <v>7.0000000000000007E-2</v>
      </c>
      <c r="I31" s="27">
        <v>6.1562499999999999E-2</v>
      </c>
      <c r="J31" s="28">
        <v>6.2482999999999997E-2</v>
      </c>
      <c r="K31" s="28"/>
      <c r="L31" s="22"/>
      <c r="M31" s="22">
        <v>3784000</v>
      </c>
      <c r="N31" s="22">
        <v>2050000</v>
      </c>
      <c r="O31" s="22">
        <v>2050000</v>
      </c>
      <c r="P31" s="46">
        <f t="shared" si="2"/>
        <v>1.8458536585365855</v>
      </c>
      <c r="Q31" s="56"/>
      <c r="R31" s="56">
        <f>O31*J31/$O$218</f>
        <v>4.7697327006793698E-4</v>
      </c>
      <c r="S31" s="57">
        <f>O31*J31/$R$10</f>
        <v>131256470.87423423</v>
      </c>
      <c r="T31" s="57"/>
    </row>
    <row r="32" spans="1:20" ht="13.5" customHeight="1" x14ac:dyDescent="0.2">
      <c r="A32" s="89">
        <v>40960</v>
      </c>
      <c r="B32" s="90">
        <v>40962</v>
      </c>
      <c r="C32" s="91" t="s">
        <v>54</v>
      </c>
      <c r="D32" s="92">
        <v>41051</v>
      </c>
      <c r="E32" s="93">
        <v>0</v>
      </c>
      <c r="F32" s="94">
        <v>2.0937500000000001E-2</v>
      </c>
      <c r="G32" s="94">
        <v>2.6657799999999999E-2</v>
      </c>
      <c r="H32" s="94">
        <v>3.5000000000000003E-2</v>
      </c>
      <c r="I32" s="94">
        <v>2.0937500000000001E-2</v>
      </c>
      <c r="J32" s="95">
        <v>2.2009399999999998E-2</v>
      </c>
      <c r="K32" s="95">
        <v>2.3125E-2</v>
      </c>
      <c r="L32" s="96">
        <v>8000000</v>
      </c>
      <c r="M32" s="96">
        <v>2360000</v>
      </c>
      <c r="N32" s="96">
        <v>1200000</v>
      </c>
      <c r="O32" s="96">
        <v>1000000</v>
      </c>
      <c r="P32" s="97">
        <f t="shared" si="2"/>
        <v>2.36</v>
      </c>
      <c r="Q32" s="98">
        <v>2.2599999999999999E-2</v>
      </c>
      <c r="R32" s="56"/>
      <c r="S32" s="57">
        <f>O32*J32/$R$10</f>
        <v>22553460.746664524</v>
      </c>
      <c r="T32" s="57"/>
    </row>
    <row r="33" spans="1:20" ht="13.5" customHeight="1" x14ac:dyDescent="0.2">
      <c r="A33" s="100"/>
      <c r="B33" s="99"/>
      <c r="C33" s="91" t="s">
        <v>55</v>
      </c>
      <c r="D33" s="92">
        <v>41285</v>
      </c>
      <c r="E33" s="93">
        <v>0</v>
      </c>
      <c r="F33" s="94">
        <v>3.125E-2</v>
      </c>
      <c r="G33" s="94">
        <v>3.5607899999999998E-2</v>
      </c>
      <c r="H33" s="94">
        <v>0.04</v>
      </c>
      <c r="I33" s="94">
        <v>3.125E-2</v>
      </c>
      <c r="J33" s="95">
        <v>3.31667E-2</v>
      </c>
      <c r="K33" s="95">
        <v>3.3750000000000002E-2</v>
      </c>
      <c r="L33" s="96"/>
      <c r="M33" s="96">
        <v>3380000</v>
      </c>
      <c r="N33" s="96">
        <v>750000</v>
      </c>
      <c r="O33" s="96">
        <v>750000</v>
      </c>
      <c r="P33" s="97">
        <f t="shared" si="2"/>
        <v>4.5066666666666668</v>
      </c>
      <c r="Q33" s="98">
        <v>3.32E-2</v>
      </c>
      <c r="R33" s="56"/>
      <c r="S33" s="57"/>
      <c r="T33" s="57"/>
    </row>
    <row r="34" spans="1:20" ht="13.5" customHeight="1" x14ac:dyDescent="0.2">
      <c r="A34" s="100"/>
      <c r="B34" s="101"/>
      <c r="C34" s="91" t="s">
        <v>35</v>
      </c>
      <c r="D34" s="92">
        <v>44696</v>
      </c>
      <c r="E34" s="94">
        <v>7.0000000000000007E-2</v>
      </c>
      <c r="F34" s="94">
        <v>5.1562499999999997E-2</v>
      </c>
      <c r="G34" s="94">
        <v>5.2656099999999997E-2</v>
      </c>
      <c r="H34" s="94">
        <v>5.3749999999999999E-2</v>
      </c>
      <c r="I34" s="94">
        <v>5.1562499999999997E-2</v>
      </c>
      <c r="J34" s="95">
        <v>5.2357800000000003E-2</v>
      </c>
      <c r="K34" s="95">
        <v>5.2499999999999998E-2</v>
      </c>
      <c r="L34" s="96"/>
      <c r="M34" s="96">
        <v>4294000</v>
      </c>
      <c r="N34" s="96">
        <v>2150000</v>
      </c>
      <c r="O34" s="96">
        <v>1950000</v>
      </c>
      <c r="P34" s="97">
        <f t="shared" si="2"/>
        <v>2.2020512820512819</v>
      </c>
      <c r="Q34" s="98">
        <v>5.2400000000000002E-2</v>
      </c>
      <c r="R34" s="56" t="e">
        <f>O34*J34/$O$29</f>
        <v>#DIV/0!</v>
      </c>
      <c r="S34" s="57">
        <f>O34*J34/$R$10</f>
        <v>104621511.48188221</v>
      </c>
      <c r="T34" s="57"/>
    </row>
    <row r="35" spans="1:20" ht="13.5" customHeight="1" x14ac:dyDescent="0.2">
      <c r="A35" s="100"/>
      <c r="B35" s="101"/>
      <c r="C35" s="91" t="s">
        <v>32</v>
      </c>
      <c r="D35" s="92">
        <v>48380</v>
      </c>
      <c r="E35" s="94">
        <v>8.2500000000000004E-2</v>
      </c>
      <c r="F35" s="94">
        <v>6.0624999999999998E-2</v>
      </c>
      <c r="G35" s="94">
        <v>6.1441099999999998E-2</v>
      </c>
      <c r="H35" s="94">
        <v>6.25E-2</v>
      </c>
      <c r="I35" s="94">
        <v>6.0624999999999998E-2</v>
      </c>
      <c r="J35" s="95">
        <v>6.09974E-2</v>
      </c>
      <c r="K35" s="95">
        <v>6.1249999999999999E-2</v>
      </c>
      <c r="L35" s="96"/>
      <c r="M35" s="96">
        <v>5631000</v>
      </c>
      <c r="N35" s="96">
        <v>2600000</v>
      </c>
      <c r="O35" s="96">
        <v>2600000</v>
      </c>
      <c r="P35" s="97">
        <f t="shared" si="2"/>
        <v>2.1657692307692309</v>
      </c>
      <c r="Q35" s="98">
        <v>6.0999999999999999E-2</v>
      </c>
      <c r="R35" s="56" t="e">
        <f>O35*J35/$O$29</f>
        <v>#DIV/0!</v>
      </c>
      <c r="S35" s="57">
        <f>O35*J35/$R$10</f>
        <v>162513581.15288678</v>
      </c>
      <c r="T35" s="57"/>
    </row>
    <row r="36" spans="1:20" ht="13.5" customHeight="1" x14ac:dyDescent="0.2">
      <c r="A36" s="100"/>
      <c r="B36" s="101"/>
      <c r="C36" s="91" t="s">
        <v>47</v>
      </c>
      <c r="D36" s="92">
        <v>51971</v>
      </c>
      <c r="E36" s="94">
        <v>6.3750000000000001E-2</v>
      </c>
      <c r="F36" s="94">
        <v>6.0937499999999999E-2</v>
      </c>
      <c r="G36" s="94">
        <v>6.2096600000000002E-2</v>
      </c>
      <c r="H36" s="94">
        <v>6.5000000000000002E-2</v>
      </c>
      <c r="I36" s="94">
        <v>6.0937499999999999E-2</v>
      </c>
      <c r="J36" s="95">
        <v>6.1901900000000003E-2</v>
      </c>
      <c r="K36" s="95">
        <v>6.25E-2</v>
      </c>
      <c r="L36" s="96"/>
      <c r="M36" s="96">
        <v>6600500</v>
      </c>
      <c r="N36" s="96">
        <v>6350000</v>
      </c>
      <c r="O36" s="96">
        <v>5700000</v>
      </c>
      <c r="P36" s="97">
        <f t="shared" si="2"/>
        <v>1.1579824561403509</v>
      </c>
      <c r="Q36" s="98">
        <v>6.2E-2</v>
      </c>
      <c r="R36" s="56" t="e">
        <f>O36*J36/$O$29</f>
        <v>#DIV/0!</v>
      </c>
      <c r="S36" s="57">
        <f>O36*J36/$R$10</f>
        <v>361562869.01167369</v>
      </c>
      <c r="T36" s="62">
        <f>SUM(S32:S36)</f>
        <v>651251422.39310718</v>
      </c>
    </row>
    <row r="37" spans="1:20" ht="13.5" customHeight="1" x14ac:dyDescent="0.2">
      <c r="A37" s="60">
        <v>40962</v>
      </c>
      <c r="B37" s="61">
        <v>40966</v>
      </c>
      <c r="C37" s="18" t="s">
        <v>48</v>
      </c>
      <c r="D37" s="19">
        <v>43146</v>
      </c>
      <c r="E37" s="104">
        <v>4.4499999999999998E-2</v>
      </c>
      <c r="F37" s="27">
        <v>4.4687499999999998E-2</v>
      </c>
      <c r="G37" s="27"/>
      <c r="H37" s="27">
        <v>0.06</v>
      </c>
      <c r="I37" s="27">
        <v>4.4687499999999998E-2</v>
      </c>
      <c r="J37" s="28">
        <v>4.4687499999999998E-2</v>
      </c>
      <c r="K37" s="28"/>
      <c r="L37" s="22">
        <v>1000000</v>
      </c>
      <c r="M37" s="22">
        <v>246000</v>
      </c>
      <c r="N37" s="22">
        <v>25000</v>
      </c>
      <c r="O37" s="22">
        <v>25000</v>
      </c>
      <c r="P37" s="46">
        <f t="shared" si="2"/>
        <v>9.84</v>
      </c>
      <c r="Q37" s="56"/>
      <c r="R37" s="56"/>
      <c r="S37" s="57">
        <f>O37*J37/$R$10</f>
        <v>1144803.7851061034</v>
      </c>
      <c r="T37" s="57"/>
    </row>
    <row r="38" spans="1:20" ht="13.5" customHeight="1" x14ac:dyDescent="0.2">
      <c r="A38" s="60"/>
      <c r="B38" s="88"/>
      <c r="C38" s="18" t="s">
        <v>49</v>
      </c>
      <c r="D38" s="19">
        <v>44576</v>
      </c>
      <c r="E38" s="104">
        <v>5.45E-2</v>
      </c>
      <c r="F38" s="27">
        <v>5.4375E-2</v>
      </c>
      <c r="G38" s="27"/>
      <c r="H38" s="27">
        <v>6.5000000000000002E-2</v>
      </c>
      <c r="I38" s="27">
        <v>5.4375E-2</v>
      </c>
      <c r="J38" s="27">
        <v>5.5E-2</v>
      </c>
      <c r="K38" s="28"/>
      <c r="L38" s="22"/>
      <c r="M38" s="22">
        <v>196000</v>
      </c>
      <c r="N38" s="22">
        <v>170000</v>
      </c>
      <c r="O38" s="22">
        <v>170000</v>
      </c>
      <c r="P38" s="46">
        <f>M38/O38</f>
        <v>1.1529411764705881</v>
      </c>
      <c r="Q38" s="56"/>
      <c r="R38" s="56"/>
      <c r="S38" s="57"/>
      <c r="T38" s="57"/>
    </row>
    <row r="39" spans="1:20" ht="13.5" customHeight="1" x14ac:dyDescent="0.2">
      <c r="A39" s="16"/>
      <c r="B39" s="17"/>
      <c r="C39" s="18" t="s">
        <v>50</v>
      </c>
      <c r="D39" s="19">
        <v>46402</v>
      </c>
      <c r="E39" s="27">
        <v>0.06</v>
      </c>
      <c r="F39" s="27">
        <v>5.7500000000000002E-2</v>
      </c>
      <c r="G39" s="27"/>
      <c r="H39" s="27">
        <v>7.0000000000000007E-2</v>
      </c>
      <c r="I39" s="27">
        <v>5.7500000000000002E-2</v>
      </c>
      <c r="J39" s="28">
        <v>5.7782300000000002E-2</v>
      </c>
      <c r="K39" s="28"/>
      <c r="L39" s="22"/>
      <c r="M39" s="22">
        <v>115000</v>
      </c>
      <c r="N39" s="22">
        <v>77000</v>
      </c>
      <c r="O39" s="22">
        <v>77000</v>
      </c>
      <c r="P39" s="46">
        <f>M39/O39</f>
        <v>1.4935064935064934</v>
      </c>
      <c r="Q39" s="56"/>
      <c r="R39" s="56">
        <f>O39*J39/$O$218</f>
        <v>1.6567762383716351E-5</v>
      </c>
      <c r="S39" s="57">
        <f>O39*J39/$R$10</f>
        <v>4559219.8918395555</v>
      </c>
      <c r="T39" s="57"/>
    </row>
    <row r="40" spans="1:20" ht="13.5" customHeight="1" x14ac:dyDescent="0.2">
      <c r="A40" s="16"/>
      <c r="B40" s="17"/>
      <c r="C40" s="18" t="s">
        <v>53</v>
      </c>
      <c r="D40" s="19">
        <v>50086</v>
      </c>
      <c r="E40" s="27">
        <v>6.0999999999999999E-2</v>
      </c>
      <c r="F40" s="27">
        <v>6.25E-2</v>
      </c>
      <c r="G40" s="27"/>
      <c r="H40" s="27">
        <v>7.2499999999999995E-2</v>
      </c>
      <c r="I40" s="27">
        <v>6.25E-2</v>
      </c>
      <c r="J40" s="28">
        <v>6.2923099999999996E-2</v>
      </c>
      <c r="K40" s="28"/>
      <c r="L40" s="22"/>
      <c r="M40" s="22">
        <v>1569500</v>
      </c>
      <c r="N40" s="22">
        <v>1200000</v>
      </c>
      <c r="O40" s="22">
        <v>1200000</v>
      </c>
      <c r="P40" s="46">
        <f>M40/O40</f>
        <v>1.3079166666666666</v>
      </c>
      <c r="Q40" s="56"/>
      <c r="R40" s="56"/>
      <c r="S40" s="57"/>
      <c r="T40" s="57"/>
    </row>
    <row r="41" spans="1:20" ht="13.5" customHeight="1" x14ac:dyDescent="0.2">
      <c r="A41" s="89">
        <v>40974</v>
      </c>
      <c r="B41" s="90">
        <v>40976</v>
      </c>
      <c r="C41" s="91" t="s">
        <v>56</v>
      </c>
      <c r="D41" s="92">
        <v>41067</v>
      </c>
      <c r="E41" s="93">
        <v>0</v>
      </c>
      <c r="F41" s="94">
        <v>0.03</v>
      </c>
      <c r="G41" s="94">
        <v>3.64967E-2</v>
      </c>
      <c r="H41" s="94">
        <v>4.2500000000000003E-2</v>
      </c>
      <c r="I41" s="94">
        <v>0.03</v>
      </c>
      <c r="J41" s="95">
        <v>0.03</v>
      </c>
      <c r="K41" s="95">
        <v>0.03</v>
      </c>
      <c r="L41" s="96">
        <v>5000000</v>
      </c>
      <c r="M41" s="96">
        <v>1900000</v>
      </c>
      <c r="N41" s="96">
        <v>500000</v>
      </c>
      <c r="O41" s="96">
        <v>500000</v>
      </c>
      <c r="P41" s="97">
        <f>M41/O41</f>
        <v>3.8</v>
      </c>
      <c r="Q41" s="98">
        <v>0.03</v>
      </c>
      <c r="R41" s="56"/>
      <c r="S41" s="57">
        <f>O41*J41/$R$10</f>
        <v>15370792.079746285</v>
      </c>
      <c r="T41" s="57"/>
    </row>
    <row r="42" spans="1:20" ht="13.5" customHeight="1" x14ac:dyDescent="0.2">
      <c r="A42" s="100"/>
      <c r="B42" s="99"/>
      <c r="C42" s="91" t="s">
        <v>57</v>
      </c>
      <c r="D42" s="92">
        <v>41312</v>
      </c>
      <c r="E42" s="93">
        <v>0</v>
      </c>
      <c r="F42" s="94">
        <v>4.0625000000000001E-2</v>
      </c>
      <c r="G42" s="94">
        <v>4.3482100000000003E-2</v>
      </c>
      <c r="H42" s="94">
        <v>4.5624999999999999E-2</v>
      </c>
      <c r="I42" s="94">
        <v>4.0625000000000001E-2</v>
      </c>
      <c r="J42" s="95">
        <v>4.0625000000000001E-2</v>
      </c>
      <c r="K42" s="95">
        <v>4.0625000000000001E-2</v>
      </c>
      <c r="L42" s="96"/>
      <c r="M42" s="96">
        <v>2025000</v>
      </c>
      <c r="N42" s="96">
        <v>1100000</v>
      </c>
      <c r="O42" s="96">
        <v>1100000</v>
      </c>
      <c r="P42" s="97">
        <f>M42/O42</f>
        <v>1.8409090909090908</v>
      </c>
      <c r="Q42" s="98">
        <v>4.07E-2</v>
      </c>
      <c r="R42" s="56"/>
      <c r="S42" s="57"/>
      <c r="T42" s="57"/>
    </row>
    <row r="43" spans="1:20" ht="13.5" customHeight="1" x14ac:dyDescent="0.2">
      <c r="A43" s="100"/>
      <c r="B43" s="101"/>
      <c r="C43" s="91" t="s">
        <v>34</v>
      </c>
      <c r="D43" s="92">
        <v>42840</v>
      </c>
      <c r="E43" s="94">
        <v>6.25E-2</v>
      </c>
      <c r="F43" s="94">
        <v>4.9687500000000002E-2</v>
      </c>
      <c r="G43" s="94">
        <v>5.1496300000000002E-2</v>
      </c>
      <c r="H43" s="94">
        <v>5.5E-2</v>
      </c>
      <c r="I43" s="94">
        <v>0</v>
      </c>
      <c r="J43" s="95">
        <v>0</v>
      </c>
      <c r="K43" s="95">
        <v>0</v>
      </c>
      <c r="L43" s="96"/>
      <c r="M43" s="96">
        <v>2835000</v>
      </c>
      <c r="N43" s="96"/>
      <c r="O43" s="96"/>
      <c r="P43" s="97"/>
      <c r="Q43" s="98">
        <v>4.8500000000000001E-2</v>
      </c>
      <c r="R43" s="56">
        <f>O43*J43/$O$39</f>
        <v>0</v>
      </c>
      <c r="S43" s="57">
        <f>O43*J43/$R$10</f>
        <v>0</v>
      </c>
      <c r="T43" s="57"/>
    </row>
    <row r="44" spans="1:20" s="107" customFormat="1" ht="13.5" customHeight="1" x14ac:dyDescent="0.2">
      <c r="A44" s="100"/>
      <c r="B44" s="101"/>
      <c r="C44" s="91" t="s">
        <v>35</v>
      </c>
      <c r="D44" s="92">
        <v>44696</v>
      </c>
      <c r="E44" s="94">
        <v>7.0000000000000007E-2</v>
      </c>
      <c r="F44" s="94">
        <v>5.7187500000000002E-2</v>
      </c>
      <c r="G44" s="94">
        <v>5.8829600000000003E-2</v>
      </c>
      <c r="H44" s="94">
        <v>6.0937499999999999E-2</v>
      </c>
      <c r="I44" s="94">
        <v>0</v>
      </c>
      <c r="J44" s="95">
        <v>0</v>
      </c>
      <c r="K44" s="95">
        <v>0</v>
      </c>
      <c r="L44" s="96"/>
      <c r="M44" s="96">
        <v>1955000</v>
      </c>
      <c r="N44" s="96"/>
      <c r="O44" s="96"/>
      <c r="P44" s="97"/>
      <c r="Q44" s="98">
        <v>5.5800000000000002E-2</v>
      </c>
      <c r="R44" s="105">
        <f>O44*J44/$O$39</f>
        <v>0</v>
      </c>
      <c r="S44" s="106">
        <f>O44*J44/$R$10</f>
        <v>0</v>
      </c>
      <c r="T44" s="106"/>
    </row>
    <row r="45" spans="1:20" ht="13.5" customHeight="1" x14ac:dyDescent="0.2">
      <c r="A45" s="100"/>
      <c r="B45" s="101"/>
      <c r="C45" s="91" t="s">
        <v>43</v>
      </c>
      <c r="D45" s="92">
        <v>46522</v>
      </c>
      <c r="E45" s="94">
        <v>7.0000000000000007E-2</v>
      </c>
      <c r="F45" s="94">
        <v>6.1874999999999999E-2</v>
      </c>
      <c r="G45" s="94">
        <v>6.2988799999999998E-2</v>
      </c>
      <c r="H45" s="94">
        <v>6.7500000000000004E-2</v>
      </c>
      <c r="I45" s="94">
        <v>0</v>
      </c>
      <c r="J45" s="95">
        <v>0</v>
      </c>
      <c r="K45" s="95">
        <v>0</v>
      </c>
      <c r="L45" s="96"/>
      <c r="M45" s="96">
        <v>1905000</v>
      </c>
      <c r="N45" s="96"/>
      <c r="O45" s="96"/>
      <c r="P45" s="97"/>
      <c r="Q45" s="98">
        <v>6.13E-2</v>
      </c>
      <c r="R45" s="56">
        <f>O45*J45/$O$39</f>
        <v>0</v>
      </c>
      <c r="S45" s="57">
        <f>O45*J45/$R$10</f>
        <v>0</v>
      </c>
      <c r="T45" s="57"/>
    </row>
    <row r="46" spans="1:20" ht="13.5" customHeight="1" x14ac:dyDescent="0.2">
      <c r="A46" s="60">
        <v>40981</v>
      </c>
      <c r="B46" s="61">
        <v>40983</v>
      </c>
      <c r="C46" s="18" t="s">
        <v>59</v>
      </c>
      <c r="D46" s="19">
        <v>41166</v>
      </c>
      <c r="E46" s="50">
        <v>0</v>
      </c>
      <c r="F46" s="27">
        <v>3.7499999999999999E-2</v>
      </c>
      <c r="G46" s="27"/>
      <c r="H46" s="27">
        <v>0.05</v>
      </c>
      <c r="I46" s="27"/>
      <c r="J46" s="28">
        <v>3.7959199999999998E-2</v>
      </c>
      <c r="K46" s="28"/>
      <c r="L46" s="22">
        <v>1000000</v>
      </c>
      <c r="M46" s="22">
        <v>2350000</v>
      </c>
      <c r="N46" s="22">
        <v>280000</v>
      </c>
      <c r="O46" s="22">
        <v>280000</v>
      </c>
      <c r="P46" s="46">
        <f>M46/O46</f>
        <v>8.3928571428571423</v>
      </c>
      <c r="Q46" s="56"/>
      <c r="R46" s="56"/>
      <c r="S46" s="57">
        <f>O46*J46/$R$10</f>
        <v>10891308.786652096</v>
      </c>
      <c r="T46" s="57"/>
    </row>
    <row r="47" spans="1:20" ht="13.5" customHeight="1" x14ac:dyDescent="0.2">
      <c r="A47" s="60"/>
      <c r="B47" s="88"/>
      <c r="C47" s="18" t="s">
        <v>48</v>
      </c>
      <c r="D47" s="19">
        <v>43146</v>
      </c>
      <c r="E47" s="104">
        <v>4.4499999999999998E-2</v>
      </c>
      <c r="F47" s="27">
        <v>5.9687499999999998E-2</v>
      </c>
      <c r="G47" s="27"/>
      <c r="H47" s="27">
        <v>6.5000000000000002E-2</v>
      </c>
      <c r="I47" s="27"/>
      <c r="J47" s="27"/>
      <c r="K47" s="28"/>
      <c r="L47" s="22"/>
      <c r="M47" s="22">
        <v>132000</v>
      </c>
      <c r="N47" s="22"/>
      <c r="O47" s="22"/>
      <c r="P47" s="46"/>
      <c r="Q47" s="56"/>
      <c r="R47" s="56"/>
      <c r="S47" s="57"/>
      <c r="T47" s="57"/>
    </row>
    <row r="48" spans="1:20" ht="13.5" customHeight="1" x14ac:dyDescent="0.2">
      <c r="A48" s="16"/>
      <c r="B48" s="17"/>
      <c r="C48" s="18" t="s">
        <v>49</v>
      </c>
      <c r="D48" s="19">
        <v>44576</v>
      </c>
      <c r="E48" s="104">
        <v>5.45E-2</v>
      </c>
      <c r="F48" s="27">
        <v>6.2812499999999993E-2</v>
      </c>
      <c r="G48" s="27"/>
      <c r="H48" s="27">
        <v>7.0000000000000007E-2</v>
      </c>
      <c r="I48" s="27"/>
      <c r="J48" s="28"/>
      <c r="K48" s="28"/>
      <c r="L48" s="22"/>
      <c r="M48" s="22">
        <v>664000</v>
      </c>
      <c r="N48" s="22"/>
      <c r="O48" s="22"/>
      <c r="P48" s="46"/>
      <c r="Q48" s="56"/>
      <c r="R48" s="56">
        <f>O48*J48/$O$218</f>
        <v>0</v>
      </c>
      <c r="S48" s="57">
        <f>O48*J48/$R$10</f>
        <v>0</v>
      </c>
      <c r="T48" s="57"/>
    </row>
    <row r="49" spans="1:20" ht="13.5" customHeight="1" x14ac:dyDescent="0.2">
      <c r="A49" s="16"/>
      <c r="B49" s="17"/>
      <c r="C49" s="18" t="s">
        <v>50</v>
      </c>
      <c r="D49" s="19">
        <v>46402</v>
      </c>
      <c r="E49" s="27">
        <v>0.06</v>
      </c>
      <c r="F49" s="27">
        <v>6.4687499999999995E-2</v>
      </c>
      <c r="G49" s="27"/>
      <c r="H49" s="27">
        <v>7.4999999999999997E-2</v>
      </c>
      <c r="I49" s="27"/>
      <c r="J49" s="28">
        <v>6.4699999999999994E-2</v>
      </c>
      <c r="K49" s="28"/>
      <c r="L49" s="22"/>
      <c r="M49" s="22">
        <v>1326000</v>
      </c>
      <c r="N49" s="22">
        <v>650000</v>
      </c>
      <c r="O49" s="22">
        <v>650000</v>
      </c>
      <c r="P49" s="46">
        <f t="shared" ref="P49:P55" si="3">M49/O49</f>
        <v>2.04</v>
      </c>
      <c r="Q49" s="56"/>
      <c r="R49" s="56"/>
      <c r="S49" s="57"/>
      <c r="T49" s="57"/>
    </row>
    <row r="50" spans="1:20" ht="13.5" customHeight="1" x14ac:dyDescent="0.2">
      <c r="A50" s="16"/>
      <c r="B50" s="17"/>
      <c r="C50" s="18" t="s">
        <v>53</v>
      </c>
      <c r="D50" s="19">
        <v>50086</v>
      </c>
      <c r="E50" s="27">
        <v>6.0999999999999999E-2</v>
      </c>
      <c r="F50" s="27">
        <v>6.4687499999999995E-2</v>
      </c>
      <c r="G50" s="27"/>
      <c r="H50" s="27">
        <v>7.8750000000000001E-2</v>
      </c>
      <c r="I50" s="27"/>
      <c r="J50" s="28">
        <v>6.8666400000000002E-2</v>
      </c>
      <c r="K50" s="28"/>
      <c r="L50" s="22"/>
      <c r="M50" s="22">
        <v>812000</v>
      </c>
      <c r="N50" s="22">
        <v>730000</v>
      </c>
      <c r="O50" s="22">
        <v>730000</v>
      </c>
      <c r="P50" s="46">
        <f t="shared" si="3"/>
        <v>1.1123287671232878</v>
      </c>
      <c r="Q50" s="56"/>
      <c r="R50" s="56">
        <f>O50*J50/$O$218</f>
        <v>1.8665750072748672E-4</v>
      </c>
      <c r="S50" s="57">
        <f>O50*J50/$R$10</f>
        <v>51365571.920214929</v>
      </c>
      <c r="T50" s="57"/>
    </row>
    <row r="51" spans="1:20" ht="13.5" customHeight="1" x14ac:dyDescent="0.2">
      <c r="A51" s="89">
        <v>40987</v>
      </c>
      <c r="B51" s="90">
        <v>40989</v>
      </c>
      <c r="C51" s="91" t="s">
        <v>60</v>
      </c>
      <c r="D51" s="92">
        <v>42268</v>
      </c>
      <c r="E51" s="94">
        <v>6.25E-2</v>
      </c>
      <c r="F51" s="94"/>
      <c r="G51" s="94"/>
      <c r="H51" s="94"/>
      <c r="I51" s="94"/>
      <c r="J51" s="95">
        <v>6.25E-2</v>
      </c>
      <c r="K51" s="95"/>
      <c r="L51" s="96">
        <v>13000000</v>
      </c>
      <c r="M51" s="96">
        <v>13613805</v>
      </c>
      <c r="N51" s="96">
        <v>13613805</v>
      </c>
      <c r="O51" s="96">
        <v>13613805</v>
      </c>
      <c r="P51" s="97">
        <f t="shared" si="3"/>
        <v>1</v>
      </c>
      <c r="Q51" s="98"/>
      <c r="R51" s="56"/>
      <c r="S51" s="57">
        <f>O51*J51/$R$10</f>
        <v>871895691.9550432</v>
      </c>
      <c r="T51" s="57"/>
    </row>
    <row r="52" spans="1:20" ht="13.5" customHeight="1" x14ac:dyDescent="0.2">
      <c r="A52" s="73">
        <v>40988</v>
      </c>
      <c r="B52" s="73">
        <v>40990</v>
      </c>
      <c r="C52" s="64" t="s">
        <v>58</v>
      </c>
      <c r="D52" s="65">
        <v>41051</v>
      </c>
      <c r="E52" s="75">
        <v>0</v>
      </c>
      <c r="F52" s="66">
        <v>0.03</v>
      </c>
      <c r="G52" s="66">
        <v>3.85104E-2</v>
      </c>
      <c r="H52" s="66">
        <v>4.2500000000000003E-2</v>
      </c>
      <c r="I52" s="66">
        <v>0.03</v>
      </c>
      <c r="J52" s="67">
        <v>3.0800000000000001E-2</v>
      </c>
      <c r="K52" s="67">
        <v>3.1875000000000001E-2</v>
      </c>
      <c r="L52" s="68">
        <v>6000000</v>
      </c>
      <c r="M52" s="68">
        <v>2465000</v>
      </c>
      <c r="N52" s="68">
        <v>250000</v>
      </c>
      <c r="O52" s="68">
        <v>250000</v>
      </c>
      <c r="P52" s="69">
        <f t="shared" si="3"/>
        <v>9.86</v>
      </c>
      <c r="Q52" s="108">
        <v>3.1E-2</v>
      </c>
      <c r="R52" s="56"/>
      <c r="S52" s="57">
        <f>O52*J52/$R$10</f>
        <v>7890339.9342697598</v>
      </c>
      <c r="T52" s="57"/>
    </row>
    <row r="53" spans="1:20" ht="13.5" customHeight="1" x14ac:dyDescent="0.2">
      <c r="A53" s="109"/>
      <c r="B53" s="110"/>
      <c r="C53" s="64" t="s">
        <v>57</v>
      </c>
      <c r="D53" s="65">
        <v>41285</v>
      </c>
      <c r="E53" s="75">
        <v>0</v>
      </c>
      <c r="F53" s="66">
        <v>4.0312500000000001E-2</v>
      </c>
      <c r="G53" s="66">
        <v>4.2195000000000003E-2</v>
      </c>
      <c r="H53" s="66">
        <v>4.4999999999999998E-2</v>
      </c>
      <c r="I53" s="66">
        <v>4.0312500000000001E-2</v>
      </c>
      <c r="J53" s="67">
        <v>4.04167E-2</v>
      </c>
      <c r="K53" s="67">
        <v>4.0625000000000001E-2</v>
      </c>
      <c r="L53" s="68"/>
      <c r="M53" s="68">
        <v>2721000</v>
      </c>
      <c r="N53" s="68">
        <v>1050000</v>
      </c>
      <c r="O53" s="68">
        <v>1000000</v>
      </c>
      <c r="P53" s="69">
        <f t="shared" si="3"/>
        <v>2.7210000000000001</v>
      </c>
      <c r="Q53" s="108">
        <v>4.0500000000000001E-2</v>
      </c>
      <c r="R53" s="56"/>
      <c r="S53" s="57"/>
      <c r="T53" s="57"/>
    </row>
    <row r="54" spans="1:20" ht="13.5" customHeight="1" x14ac:dyDescent="0.2">
      <c r="A54" s="109"/>
      <c r="B54" s="111"/>
      <c r="C54" s="64" t="s">
        <v>34</v>
      </c>
      <c r="D54" s="65">
        <v>42840</v>
      </c>
      <c r="E54" s="66">
        <v>6.25E-2</v>
      </c>
      <c r="F54" s="66">
        <v>4.8750000000000002E-2</v>
      </c>
      <c r="G54" s="66">
        <v>5.1622800000000003E-2</v>
      </c>
      <c r="H54" s="66">
        <v>0.06</v>
      </c>
      <c r="I54" s="66">
        <v>4.8750000000000002E-2</v>
      </c>
      <c r="J54" s="67">
        <v>5.1191899999999999E-2</v>
      </c>
      <c r="K54" s="67">
        <v>5.2187499999999998E-2</v>
      </c>
      <c r="L54" s="68"/>
      <c r="M54" s="68">
        <v>2449000</v>
      </c>
      <c r="N54" s="68">
        <v>2300000</v>
      </c>
      <c r="O54" s="68">
        <v>1950000</v>
      </c>
      <c r="P54" s="69">
        <f t="shared" si="3"/>
        <v>1.255897435897436</v>
      </c>
      <c r="Q54" s="108">
        <v>5.1499999999999997E-2</v>
      </c>
      <c r="R54" s="56">
        <v>0</v>
      </c>
      <c r="S54" s="57">
        <v>0</v>
      </c>
      <c r="T54" s="57"/>
    </row>
    <row r="55" spans="1:20" ht="13.5" customHeight="1" x14ac:dyDescent="0.2">
      <c r="A55" s="109"/>
      <c r="B55" s="111"/>
      <c r="C55" s="64" t="s">
        <v>35</v>
      </c>
      <c r="D55" s="65">
        <v>44696</v>
      </c>
      <c r="E55" s="66">
        <v>7.0000000000000007E-2</v>
      </c>
      <c r="F55" s="66">
        <v>5.7500000000000002E-2</v>
      </c>
      <c r="G55" s="66">
        <v>5.9145700000000002E-2</v>
      </c>
      <c r="H55" s="66">
        <v>6.3125000000000001E-2</v>
      </c>
      <c r="I55" s="66">
        <v>5.7500000000000002E-2</v>
      </c>
      <c r="J55" s="67">
        <v>5.8697600000000003E-2</v>
      </c>
      <c r="K55" s="67">
        <v>5.9374999999999997E-2</v>
      </c>
      <c r="L55" s="68"/>
      <c r="M55" s="68">
        <v>3433000</v>
      </c>
      <c r="N55" s="68">
        <v>2050000</v>
      </c>
      <c r="O55" s="68">
        <v>2050000</v>
      </c>
      <c r="P55" s="69">
        <f t="shared" si="3"/>
        <v>1.6746341463414633</v>
      </c>
      <c r="Q55" s="108">
        <v>5.8700000000000002E-2</v>
      </c>
      <c r="R55" s="56">
        <v>0</v>
      </c>
      <c r="S55" s="57">
        <v>0</v>
      </c>
      <c r="T55" s="57"/>
    </row>
    <row r="56" spans="1:20" ht="13.5" customHeight="1" x14ac:dyDescent="0.2">
      <c r="A56" s="109"/>
      <c r="B56" s="111"/>
      <c r="C56" s="64" t="s">
        <v>32</v>
      </c>
      <c r="D56" s="65">
        <v>48380</v>
      </c>
      <c r="E56" s="66">
        <v>8.2500000000000004E-2</v>
      </c>
      <c r="F56" s="66">
        <v>6.5937499999999996E-2</v>
      </c>
      <c r="G56" s="66">
        <v>6.7572999999999994E-2</v>
      </c>
      <c r="H56" s="66">
        <v>6.9375000000000006E-2</v>
      </c>
      <c r="I56" s="66">
        <v>6.5937499999999996E-2</v>
      </c>
      <c r="J56" s="67">
        <v>6.7264900000000002E-2</v>
      </c>
      <c r="K56" s="67">
        <v>6.7812499999999998E-2</v>
      </c>
      <c r="L56" s="68"/>
      <c r="M56" s="68">
        <v>3017000</v>
      </c>
      <c r="N56" s="68">
        <v>2100000</v>
      </c>
      <c r="O56" s="68">
        <v>2050000</v>
      </c>
      <c r="P56" s="69">
        <v>4.6167499999999997</v>
      </c>
      <c r="Q56" s="108">
        <v>6.7299999999999999E-2</v>
      </c>
      <c r="R56" s="56">
        <v>1.9887751488813776E-3</v>
      </c>
      <c r="S56" s="57">
        <v>29293528.561597757</v>
      </c>
      <c r="T56" s="62"/>
    </row>
    <row r="57" spans="1:20" ht="13.5" customHeight="1" x14ac:dyDescent="0.2">
      <c r="A57" s="89">
        <v>40989</v>
      </c>
      <c r="B57" s="90">
        <v>40989</v>
      </c>
      <c r="C57" s="91" t="s">
        <v>61</v>
      </c>
      <c r="D57" s="92">
        <v>42815</v>
      </c>
      <c r="E57" s="94">
        <v>5.16E-2</v>
      </c>
      <c r="F57" s="94"/>
      <c r="G57" s="94"/>
      <c r="H57" s="94"/>
      <c r="I57" s="94"/>
      <c r="J57" s="94">
        <v>5.16E-2</v>
      </c>
      <c r="K57" s="95"/>
      <c r="L57" s="96">
        <v>8000000</v>
      </c>
      <c r="M57" s="96">
        <v>2000000</v>
      </c>
      <c r="N57" s="96">
        <v>2000000</v>
      </c>
      <c r="O57" s="96">
        <v>2000000</v>
      </c>
      <c r="P57" s="97">
        <f>M57/O57</f>
        <v>1</v>
      </c>
      <c r="Q57" s="98">
        <v>0.03</v>
      </c>
      <c r="R57" s="56"/>
      <c r="S57" s="57">
        <f>O57*J57/$R$10</f>
        <v>105751049.50865445</v>
      </c>
      <c r="T57" s="57"/>
    </row>
    <row r="58" spans="1:20" ht="13.5" customHeight="1" x14ac:dyDescent="0.2">
      <c r="A58" s="100"/>
      <c r="B58" s="99"/>
      <c r="C58" s="91" t="s">
        <v>62</v>
      </c>
      <c r="D58" s="92">
        <v>43545</v>
      </c>
      <c r="E58" s="94">
        <v>5.4600000000000003E-2</v>
      </c>
      <c r="F58" s="94"/>
      <c r="G58" s="94"/>
      <c r="H58" s="94"/>
      <c r="I58" s="94"/>
      <c r="J58" s="94">
        <v>5.4600000000000003E-2</v>
      </c>
      <c r="K58" s="95"/>
      <c r="L58" s="96"/>
      <c r="M58" s="96">
        <v>3000000</v>
      </c>
      <c r="N58" s="96">
        <v>3000000</v>
      </c>
      <c r="O58" s="96">
        <v>3000000</v>
      </c>
      <c r="P58" s="97">
        <f>M58/O58</f>
        <v>1</v>
      </c>
      <c r="Q58" s="98">
        <v>4.07E-2</v>
      </c>
      <c r="R58" s="56"/>
      <c r="S58" s="57"/>
      <c r="T58" s="57"/>
    </row>
    <row r="59" spans="1:20" ht="13.5" customHeight="1" x14ac:dyDescent="0.2">
      <c r="A59" s="100"/>
      <c r="B59" s="101"/>
      <c r="C59" s="91" t="s">
        <v>63</v>
      </c>
      <c r="D59" s="92">
        <v>44641</v>
      </c>
      <c r="E59" s="94">
        <v>5.91E-2</v>
      </c>
      <c r="F59" s="94"/>
      <c r="G59" s="94"/>
      <c r="H59" s="94"/>
      <c r="I59" s="94"/>
      <c r="J59" s="94">
        <v>5.91E-2</v>
      </c>
      <c r="K59" s="95"/>
      <c r="L59" s="96"/>
      <c r="M59" s="96">
        <v>3342000</v>
      </c>
      <c r="N59" s="96">
        <v>3342000</v>
      </c>
      <c r="O59" s="96">
        <v>3342000</v>
      </c>
      <c r="P59" s="97">
        <f>M59/O59</f>
        <v>1</v>
      </c>
      <c r="Q59" s="98">
        <v>4.8500000000000001E-2</v>
      </c>
      <c r="R59" s="56">
        <f>O59*J59/$O$39</f>
        <v>2.5650935064935068</v>
      </c>
      <c r="S59" s="57">
        <f>O59*J59/$R$10</f>
        <v>202394597.29421762</v>
      </c>
      <c r="T59" s="57"/>
    </row>
    <row r="60" spans="1:20" ht="13.5" customHeight="1" x14ac:dyDescent="0.2">
      <c r="A60" s="60">
        <v>40995</v>
      </c>
      <c r="B60" s="61">
        <v>40997</v>
      </c>
      <c r="C60" s="18" t="s">
        <v>48</v>
      </c>
      <c r="D60" s="19">
        <v>43146</v>
      </c>
      <c r="E60" s="104">
        <v>4.4499999999999998E-2</v>
      </c>
      <c r="F60" s="27">
        <v>5.8125000000000003E-2</v>
      </c>
      <c r="G60" s="27"/>
      <c r="H60" s="27">
        <v>6.5000000000000002E-2</v>
      </c>
      <c r="I60" s="27"/>
      <c r="J60" s="27"/>
      <c r="K60" s="28"/>
      <c r="L60" s="22">
        <v>1000000</v>
      </c>
      <c r="M60" s="22">
        <v>108000</v>
      </c>
      <c r="N60" s="22"/>
      <c r="O60" s="22"/>
      <c r="P60" s="46"/>
      <c r="Q60" s="56"/>
      <c r="R60" s="56"/>
      <c r="S60" s="57"/>
      <c r="T60" s="57"/>
    </row>
    <row r="61" spans="1:20" ht="13.5" customHeight="1" x14ac:dyDescent="0.2">
      <c r="A61" s="16"/>
      <c r="B61" s="17"/>
      <c r="C61" s="18" t="s">
        <v>49</v>
      </c>
      <c r="D61" s="19">
        <v>44576</v>
      </c>
      <c r="E61" s="104">
        <v>5.45E-2</v>
      </c>
      <c r="F61" s="27">
        <v>6.21875E-2</v>
      </c>
      <c r="G61" s="27"/>
      <c r="H61" s="27">
        <v>7.0000000000000007E-2</v>
      </c>
      <c r="I61" s="27"/>
      <c r="J61" s="28"/>
      <c r="K61" s="28"/>
      <c r="L61" s="22"/>
      <c r="M61" s="22">
        <v>483000</v>
      </c>
      <c r="N61" s="22"/>
      <c r="O61" s="22"/>
      <c r="P61" s="46"/>
      <c r="Q61" s="56"/>
      <c r="R61" s="56">
        <f>O61*J61/$O$218</f>
        <v>0</v>
      </c>
      <c r="S61" s="57">
        <f>O61*J61/$R$10</f>
        <v>0</v>
      </c>
      <c r="T61" s="57"/>
    </row>
    <row r="62" spans="1:20" ht="13.5" customHeight="1" x14ac:dyDescent="0.2">
      <c r="A62" s="16"/>
      <c r="B62" s="17"/>
      <c r="C62" s="18" t="s">
        <v>50</v>
      </c>
      <c r="D62" s="19">
        <v>46402</v>
      </c>
      <c r="E62" s="27">
        <v>0.06</v>
      </c>
      <c r="F62" s="27">
        <v>6.5312499999999996E-2</v>
      </c>
      <c r="G62" s="27"/>
      <c r="H62" s="27">
        <v>7.0937500000000001E-2</v>
      </c>
      <c r="I62" s="27"/>
      <c r="J62" s="28"/>
      <c r="K62" s="28"/>
      <c r="L62" s="22"/>
      <c r="M62" s="22">
        <v>801000</v>
      </c>
      <c r="N62" s="22"/>
      <c r="O62" s="22"/>
      <c r="P62" s="46"/>
      <c r="Q62" s="56"/>
      <c r="R62" s="56"/>
      <c r="S62" s="57"/>
      <c r="T62" s="57"/>
    </row>
    <row r="63" spans="1:20" ht="13.5" customHeight="1" x14ac:dyDescent="0.2">
      <c r="A63" s="16"/>
      <c r="B63" s="17"/>
      <c r="C63" s="18" t="s">
        <v>53</v>
      </c>
      <c r="D63" s="19">
        <v>50086</v>
      </c>
      <c r="E63" s="27">
        <v>6.0999999999999999E-2</v>
      </c>
      <c r="F63" s="27">
        <v>6.8125000000000005E-2</v>
      </c>
      <c r="G63" s="27"/>
      <c r="H63" s="27">
        <v>7.2499999999999995E-2</v>
      </c>
      <c r="I63" s="27"/>
      <c r="J63" s="28">
        <v>6.9596500000000006E-2</v>
      </c>
      <c r="K63" s="28"/>
      <c r="L63" s="22"/>
      <c r="M63" s="22">
        <v>792000</v>
      </c>
      <c r="N63" s="22"/>
      <c r="O63" s="22">
        <v>355000</v>
      </c>
      <c r="P63" s="46">
        <f>M63/O63</f>
        <v>2.2309859154929579</v>
      </c>
      <c r="Q63" s="108">
        <v>6.7299999999999999E-2</v>
      </c>
      <c r="R63" s="56">
        <f>O63*J63/$O$218</f>
        <v>9.2001320300979657E-5</v>
      </c>
      <c r="S63" s="57">
        <f>O63*J63/$R$10</f>
        <v>25317495.499814145</v>
      </c>
      <c r="T63" s="57"/>
    </row>
    <row r="64" spans="1:20" ht="13.5" customHeight="1" x14ac:dyDescent="0.2">
      <c r="A64" s="89">
        <v>41002</v>
      </c>
      <c r="B64" s="90">
        <v>41004</v>
      </c>
      <c r="C64" s="91" t="s">
        <v>64</v>
      </c>
      <c r="D64" s="92">
        <v>41368</v>
      </c>
      <c r="E64" s="94">
        <v>0</v>
      </c>
      <c r="F64" s="94">
        <v>3.875E-2</v>
      </c>
      <c r="G64" s="94">
        <v>4.1736099999999998E-2</v>
      </c>
      <c r="H64" s="94">
        <v>4.4999999999999998E-2</v>
      </c>
      <c r="I64" s="94">
        <v>3.875E-2</v>
      </c>
      <c r="J64" s="94">
        <v>3.9166699999999999E-2</v>
      </c>
      <c r="K64" s="95">
        <v>3.9375E-2</v>
      </c>
      <c r="L64" s="96">
        <v>6000000</v>
      </c>
      <c r="M64" s="96">
        <v>6100000</v>
      </c>
      <c r="N64" s="96">
        <v>1300000</v>
      </c>
      <c r="O64" s="96">
        <v>1000000</v>
      </c>
      <c r="P64" s="97">
        <f>M64/O64</f>
        <v>6.1</v>
      </c>
      <c r="Q64" s="98">
        <v>3.95E-2</v>
      </c>
      <c r="R64" s="56"/>
      <c r="S64" s="57">
        <f>O64*J64/$R$10</f>
        <v>40134880.14331992</v>
      </c>
      <c r="T64" s="57"/>
    </row>
    <row r="65" spans="1:23" ht="13.5" customHeight="1" x14ac:dyDescent="0.2">
      <c r="A65" s="89"/>
      <c r="B65" s="90"/>
      <c r="C65" s="91" t="s">
        <v>35</v>
      </c>
      <c r="D65" s="92">
        <v>44696</v>
      </c>
      <c r="E65" s="94">
        <v>7.0000000000000007E-2</v>
      </c>
      <c r="F65" s="94">
        <v>5.7812500000000003E-2</v>
      </c>
      <c r="G65" s="94">
        <v>5.89077E-2</v>
      </c>
      <c r="H65" s="94">
        <v>6.1874999999999999E-2</v>
      </c>
      <c r="I65" s="94">
        <v>5.7812500000000003E-2</v>
      </c>
      <c r="J65" s="94">
        <v>5.86992E-2</v>
      </c>
      <c r="K65" s="95">
        <v>5.9062499999999997E-2</v>
      </c>
      <c r="L65" s="96"/>
      <c r="M65" s="96">
        <v>4188000</v>
      </c>
      <c r="N65" s="96">
        <v>3300000</v>
      </c>
      <c r="O65" s="96">
        <v>3300000</v>
      </c>
      <c r="P65" s="97">
        <f>M65/O65</f>
        <v>1.269090909090909</v>
      </c>
      <c r="Q65" s="98">
        <v>5.8700000000000002E-2</v>
      </c>
      <c r="R65" s="56"/>
      <c r="S65" s="57"/>
      <c r="T65" s="57"/>
    </row>
    <row r="66" spans="1:23" ht="13.5" customHeight="1" x14ac:dyDescent="0.2">
      <c r="A66" s="89"/>
      <c r="B66" s="90"/>
      <c r="C66" s="91" t="s">
        <v>43</v>
      </c>
      <c r="D66" s="92">
        <v>46522</v>
      </c>
      <c r="E66" s="94">
        <v>7.0000000000000007E-2</v>
      </c>
      <c r="F66" s="94">
        <v>6.21875E-2</v>
      </c>
      <c r="G66" s="94">
        <v>6.3441600000000001E-2</v>
      </c>
      <c r="H66" s="94">
        <v>6.5000000000000002E-2</v>
      </c>
      <c r="I66" s="94">
        <v>6.21875E-2</v>
      </c>
      <c r="J66" s="94">
        <v>6.3199099999999994E-2</v>
      </c>
      <c r="K66" s="95">
        <v>6.3437499999999994E-2</v>
      </c>
      <c r="L66" s="96"/>
      <c r="M66" s="96">
        <v>4009000</v>
      </c>
      <c r="N66" s="96">
        <v>2700000</v>
      </c>
      <c r="O66" s="96">
        <v>2700000</v>
      </c>
      <c r="P66" s="97">
        <f t="shared" ref="P66:P72" si="4">M66/O66</f>
        <v>1.4848148148148148</v>
      </c>
      <c r="Q66" s="98">
        <v>6.3200000000000006E-2</v>
      </c>
      <c r="R66" s="56" t="e">
        <f>O66*J66/$O$43</f>
        <v>#DIV/0!</v>
      </c>
      <c r="S66" s="57">
        <f>O66*J66/$R$10</f>
        <v>174855640.63087681</v>
      </c>
      <c r="T66" s="57"/>
    </row>
    <row r="67" spans="1:23" ht="13.5" customHeight="1" x14ac:dyDescent="0.2">
      <c r="A67" s="89"/>
      <c r="B67" s="90"/>
      <c r="C67" s="91" t="s">
        <v>32</v>
      </c>
      <c r="D67" s="92">
        <v>48380</v>
      </c>
      <c r="E67" s="94">
        <v>8.2500000000000004E-2</v>
      </c>
      <c r="F67" s="94">
        <v>6.6562499999999997E-2</v>
      </c>
      <c r="G67" s="94">
        <v>6.7594600000000005E-2</v>
      </c>
      <c r="H67" s="94">
        <v>7.0000000000000007E-2</v>
      </c>
      <c r="I67" s="94">
        <v>6.6562499999999997E-2</v>
      </c>
      <c r="J67" s="94">
        <v>6.7283399999999993E-2</v>
      </c>
      <c r="K67" s="95">
        <v>6.7500000000000004E-2</v>
      </c>
      <c r="L67" s="96"/>
      <c r="M67" s="96">
        <v>5192000</v>
      </c>
      <c r="N67" s="96">
        <v>2150000</v>
      </c>
      <c r="O67" s="96">
        <v>2000000</v>
      </c>
      <c r="P67" s="97">
        <f t="shared" si="4"/>
        <v>2.5960000000000001</v>
      </c>
      <c r="Q67" s="98">
        <v>6.7299999999999999E-2</v>
      </c>
      <c r="R67" s="56" t="e">
        <f>O67*J67/$O$43</f>
        <v>#DIV/0!</v>
      </c>
      <c r="S67" s="57">
        <f>O67*J67/$R$10</f>
        <v>137893220.24245349</v>
      </c>
      <c r="T67" s="57"/>
    </row>
    <row r="68" spans="1:23" ht="13.5" customHeight="1" x14ac:dyDescent="0.2">
      <c r="A68" s="60">
        <v>41009</v>
      </c>
      <c r="B68" s="61">
        <v>41011</v>
      </c>
      <c r="C68" s="18" t="s">
        <v>65</v>
      </c>
      <c r="D68" s="19">
        <v>41193</v>
      </c>
      <c r="E68" s="104">
        <v>0</v>
      </c>
      <c r="F68" s="27">
        <v>3.7812499999999999E-2</v>
      </c>
      <c r="G68" s="27"/>
      <c r="H68" s="27">
        <v>4.7500000000000001E-2</v>
      </c>
      <c r="I68" s="27"/>
      <c r="J68" s="27"/>
      <c r="K68" s="28"/>
      <c r="L68" s="22">
        <v>1000000</v>
      </c>
      <c r="M68" s="22">
        <v>2451000</v>
      </c>
      <c r="N68" s="22"/>
      <c r="O68" s="22">
        <v>0</v>
      </c>
      <c r="P68" s="97" t="e">
        <f t="shared" si="4"/>
        <v>#DIV/0!</v>
      </c>
      <c r="Q68" s="56"/>
      <c r="R68" s="56"/>
      <c r="S68" s="57">
        <f>O68*J68/$R$10</f>
        <v>0</v>
      </c>
      <c r="T68" s="57"/>
    </row>
    <row r="69" spans="1:23" ht="13.5" customHeight="1" x14ac:dyDescent="0.2">
      <c r="A69" s="16"/>
      <c r="B69" s="17"/>
      <c r="C69" s="18" t="s">
        <v>48</v>
      </c>
      <c r="D69" s="19">
        <v>43146</v>
      </c>
      <c r="E69" s="104">
        <v>4.4499999999999998E-2</v>
      </c>
      <c r="F69" s="27">
        <v>5.3124999999999999E-2</v>
      </c>
      <c r="G69" s="27"/>
      <c r="H69" s="27">
        <v>6.5000000000000002E-2</v>
      </c>
      <c r="I69" s="27"/>
      <c r="J69" s="28">
        <v>5.3124999999999999E-2</v>
      </c>
      <c r="K69" s="28"/>
      <c r="L69" s="22"/>
      <c r="M69" s="22">
        <v>2171000</v>
      </c>
      <c r="N69" s="22"/>
      <c r="O69" s="22">
        <v>1000000</v>
      </c>
      <c r="P69" s="97">
        <f t="shared" si="4"/>
        <v>2.1709999999999998</v>
      </c>
      <c r="Q69" s="56"/>
      <c r="R69" s="56"/>
      <c r="S69" s="57"/>
      <c r="T69" s="57"/>
    </row>
    <row r="70" spans="1:23" ht="13.5" customHeight="1" x14ac:dyDescent="0.2">
      <c r="A70" s="16"/>
      <c r="B70" s="17"/>
      <c r="C70" s="18" t="s">
        <v>49</v>
      </c>
      <c r="D70" s="19">
        <v>44576</v>
      </c>
      <c r="E70" s="104">
        <v>5.45E-2</v>
      </c>
      <c r="F70" s="27">
        <v>6.0937499999999999E-2</v>
      </c>
      <c r="G70" s="27"/>
      <c r="H70" s="27">
        <v>7.0000000000000007E-2</v>
      </c>
      <c r="I70" s="27"/>
      <c r="J70" s="28">
        <v>6.1093799999999997E-2</v>
      </c>
      <c r="K70" s="28"/>
      <c r="L70" s="22"/>
      <c r="M70" s="22">
        <v>466000</v>
      </c>
      <c r="N70" s="22"/>
      <c r="O70" s="22">
        <v>100000</v>
      </c>
      <c r="P70" s="97">
        <f t="shared" si="4"/>
        <v>4.66</v>
      </c>
      <c r="Q70" s="56"/>
      <c r="R70" s="56" t="e">
        <f>O70*J70/$O$43</f>
        <v>#DIV/0!</v>
      </c>
      <c r="S70" s="57">
        <f>O70*J70/$R$10</f>
        <v>6260400.6477440242</v>
      </c>
      <c r="T70" s="57"/>
    </row>
    <row r="71" spans="1:23" ht="13.5" customHeight="1" x14ac:dyDescent="0.2">
      <c r="A71" s="16"/>
      <c r="B71" s="17"/>
      <c r="C71" s="18" t="s">
        <v>50</v>
      </c>
      <c r="D71" s="19">
        <v>46402</v>
      </c>
      <c r="E71" s="27">
        <v>0.06</v>
      </c>
      <c r="F71" s="27">
        <v>6.5312499999999996E-2</v>
      </c>
      <c r="G71" s="27"/>
      <c r="H71" s="27">
        <v>7.4999999999999997E-2</v>
      </c>
      <c r="I71" s="27"/>
      <c r="J71" s="28">
        <v>6.5312499999999996E-2</v>
      </c>
      <c r="K71" s="28"/>
      <c r="L71" s="22"/>
      <c r="M71" s="22">
        <v>1341000</v>
      </c>
      <c r="N71" s="22"/>
      <c r="O71" s="22">
        <v>550000</v>
      </c>
      <c r="P71" s="97">
        <f t="shared" si="4"/>
        <v>2.438181818181818</v>
      </c>
      <c r="Q71" s="108"/>
      <c r="R71" s="56" t="e">
        <f>O71*J71/$O$43</f>
        <v>#DIV/0!</v>
      </c>
      <c r="S71" s="57">
        <f>O71*J71/$R$10</f>
        <v>36809844.782642402</v>
      </c>
      <c r="T71" s="57"/>
    </row>
    <row r="72" spans="1:23" ht="13.5" customHeight="1" x14ac:dyDescent="0.2">
      <c r="A72" s="16"/>
      <c r="B72" s="17"/>
      <c r="C72" s="18" t="s">
        <v>53</v>
      </c>
      <c r="D72" s="19">
        <v>50086</v>
      </c>
      <c r="E72" s="27">
        <v>6.0999999999999999E-2</v>
      </c>
      <c r="F72" s="27">
        <v>6.8750000000000006E-2</v>
      </c>
      <c r="G72" s="27"/>
      <c r="H72" s="27">
        <v>0.08</v>
      </c>
      <c r="I72" s="27"/>
      <c r="J72" s="28">
        <v>6.9043400000000005E-2</v>
      </c>
      <c r="K72" s="28"/>
      <c r="L72" s="22"/>
      <c r="M72" s="22">
        <v>639000</v>
      </c>
      <c r="N72" s="22"/>
      <c r="O72" s="22">
        <v>250000</v>
      </c>
      <c r="P72" s="97">
        <f t="shared" si="4"/>
        <v>2.556</v>
      </c>
      <c r="Q72" s="108"/>
      <c r="R72" s="56" t="e">
        <f>O72*J72/$O$43</f>
        <v>#DIV/0!</v>
      </c>
      <c r="S72" s="57">
        <f>O72*J72/$R$10</f>
        <v>17687529.097979248</v>
      </c>
      <c r="T72" s="57"/>
    </row>
    <row r="73" spans="1:23" ht="13.5" customHeight="1" x14ac:dyDescent="0.2">
      <c r="A73" s="89">
        <v>41016</v>
      </c>
      <c r="B73" s="89">
        <v>41018</v>
      </c>
      <c r="C73" s="91" t="s">
        <v>66</v>
      </c>
      <c r="D73" s="92">
        <v>41108</v>
      </c>
      <c r="E73" s="93">
        <v>0</v>
      </c>
      <c r="F73" s="94">
        <v>3.15625E-2</v>
      </c>
      <c r="G73" s="94">
        <v>3.7930400000000003E-2</v>
      </c>
      <c r="H73" s="94">
        <v>4.4999999999999998E-2</v>
      </c>
      <c r="I73" s="94">
        <v>3.15625E-2</v>
      </c>
      <c r="J73" s="95">
        <v>3.3057299999999998E-2</v>
      </c>
      <c r="K73" s="95">
        <v>3.3437500000000002E-2</v>
      </c>
      <c r="L73" s="96">
        <v>6000000</v>
      </c>
      <c r="M73" s="96">
        <v>2080000</v>
      </c>
      <c r="N73" s="96">
        <v>300000</v>
      </c>
      <c r="O73" s="96">
        <v>300000</v>
      </c>
      <c r="P73" s="97">
        <f>M73/O73</f>
        <v>6.9333333333333336</v>
      </c>
      <c r="Q73" s="98">
        <v>3.3099999999999997E-2</v>
      </c>
      <c r="R73" s="56"/>
      <c r="S73" s="57">
        <f>O73*J73/$R$10</f>
        <v>10162337.700355936</v>
      </c>
      <c r="T73" s="57"/>
    </row>
    <row r="74" spans="1:23" ht="13.5" customHeight="1" x14ac:dyDescent="0.2">
      <c r="A74" s="100"/>
      <c r="B74" s="99"/>
      <c r="C74" s="91" t="s">
        <v>67</v>
      </c>
      <c r="D74" s="92">
        <v>41368</v>
      </c>
      <c r="E74" s="93">
        <v>0</v>
      </c>
      <c r="F74" s="94">
        <v>3.875E-2</v>
      </c>
      <c r="G74" s="94">
        <v>4.0850999999999998E-2</v>
      </c>
      <c r="H74" s="94">
        <v>4.7500000000000001E-2</v>
      </c>
      <c r="I74" s="94">
        <v>3.875E-2</v>
      </c>
      <c r="J74" s="95">
        <v>3.95E-2</v>
      </c>
      <c r="K74" s="95">
        <v>0.04</v>
      </c>
      <c r="L74" s="96"/>
      <c r="M74" s="96">
        <v>4150000</v>
      </c>
      <c r="N74" s="96">
        <v>1900000</v>
      </c>
      <c r="O74" s="96">
        <v>1900000</v>
      </c>
      <c r="P74" s="97">
        <f>M74/O74</f>
        <v>2.1842105263157894</v>
      </c>
      <c r="Q74" s="98">
        <v>3.95E-2</v>
      </c>
      <c r="R74" s="56"/>
      <c r="S74" s="57"/>
      <c r="T74" s="57"/>
    </row>
    <row r="75" spans="1:23" ht="13.5" customHeight="1" x14ac:dyDescent="0.2">
      <c r="A75" s="100"/>
      <c r="B75" s="101"/>
      <c r="C75" s="91" t="s">
        <v>35</v>
      </c>
      <c r="D75" s="92">
        <v>44696</v>
      </c>
      <c r="E75" s="94">
        <v>7.0000000000000007E-2</v>
      </c>
      <c r="F75" s="94">
        <v>6.0937499999999999E-2</v>
      </c>
      <c r="G75" s="94">
        <v>6.21383E-2</v>
      </c>
      <c r="H75" s="94">
        <v>6.5000000000000002E-2</v>
      </c>
      <c r="I75" s="94"/>
      <c r="J75" s="95"/>
      <c r="K75" s="95"/>
      <c r="L75" s="96"/>
      <c r="M75" s="96">
        <v>3225000</v>
      </c>
      <c r="N75" s="96">
        <v>0</v>
      </c>
      <c r="O75" s="96">
        <v>0</v>
      </c>
      <c r="P75" s="97"/>
      <c r="Q75" s="98">
        <v>6.0999999999999999E-2</v>
      </c>
      <c r="R75" s="56">
        <v>0</v>
      </c>
      <c r="S75" s="57">
        <v>0</v>
      </c>
      <c r="T75" s="57"/>
    </row>
    <row r="76" spans="1:23" ht="13.5" customHeight="1" x14ac:dyDescent="0.2">
      <c r="A76" s="100"/>
      <c r="B76" s="101"/>
      <c r="C76" s="91" t="s">
        <v>43</v>
      </c>
      <c r="D76" s="92">
        <v>46522</v>
      </c>
      <c r="E76" s="94">
        <v>7.0000000000000007E-2</v>
      </c>
      <c r="F76" s="94">
        <v>6.5625000000000003E-2</v>
      </c>
      <c r="G76" s="94">
        <v>6.5997700000000006E-2</v>
      </c>
      <c r="H76" s="94">
        <v>6.7500000000000004E-2</v>
      </c>
      <c r="I76" s="94"/>
      <c r="J76" s="95"/>
      <c r="K76" s="95"/>
      <c r="L76" s="96"/>
      <c r="M76" s="96">
        <v>3020000</v>
      </c>
      <c r="N76" s="96">
        <v>0</v>
      </c>
      <c r="O76" s="96">
        <v>0</v>
      </c>
      <c r="P76" s="97"/>
      <c r="Q76" s="98">
        <v>6.4699999999999994E-2</v>
      </c>
      <c r="R76" s="56">
        <v>0</v>
      </c>
      <c r="S76" s="57">
        <v>0</v>
      </c>
      <c r="T76" s="57"/>
    </row>
    <row r="77" spans="1:23" ht="13.5" customHeight="1" x14ac:dyDescent="0.2">
      <c r="A77" s="100"/>
      <c r="B77" s="101"/>
      <c r="C77" s="91" t="s">
        <v>32</v>
      </c>
      <c r="D77" s="92">
        <v>48380</v>
      </c>
      <c r="E77" s="94">
        <v>8.2500000000000004E-2</v>
      </c>
      <c r="F77" s="94">
        <v>6.9062499999999999E-2</v>
      </c>
      <c r="G77" s="94">
        <v>6.9961999999999996E-2</v>
      </c>
      <c r="H77" s="94">
        <v>7.2499999999999995E-2</v>
      </c>
      <c r="I77" s="94"/>
      <c r="J77" s="95"/>
      <c r="K77" s="95"/>
      <c r="L77" s="96"/>
      <c r="M77" s="96">
        <v>2362000</v>
      </c>
      <c r="N77" s="96">
        <v>0</v>
      </c>
      <c r="O77" s="96">
        <v>0</v>
      </c>
      <c r="P77" s="97"/>
      <c r="Q77" s="98">
        <v>6.8500000000000005E-2</v>
      </c>
      <c r="R77" s="56">
        <v>1.9887751488813776E-3</v>
      </c>
      <c r="S77" s="57">
        <v>29293528.561597757</v>
      </c>
      <c r="T77" s="62"/>
    </row>
    <row r="78" spans="1:23" s="71" customFormat="1" ht="13.5" customHeight="1" x14ac:dyDescent="0.2">
      <c r="A78" s="246">
        <v>41016</v>
      </c>
      <c r="B78" s="248">
        <v>41024</v>
      </c>
      <c r="C78" s="77" t="s">
        <v>68</v>
      </c>
      <c r="D78" s="78">
        <v>44676</v>
      </c>
      <c r="E78" s="79">
        <v>3.7499999999999999E-2</v>
      </c>
      <c r="F78" s="80"/>
      <c r="G78" s="80"/>
      <c r="H78" s="80"/>
      <c r="I78" s="80"/>
      <c r="J78" s="81"/>
      <c r="K78" s="81"/>
      <c r="L78" s="113">
        <v>20000000</v>
      </c>
      <c r="M78" s="83" t="s">
        <v>71</v>
      </c>
      <c r="N78" s="83" t="s">
        <v>69</v>
      </c>
      <c r="O78" s="83" t="s">
        <v>69</v>
      </c>
      <c r="P78" s="112"/>
      <c r="Q78" s="85"/>
      <c r="R78" s="56"/>
      <c r="U78" s="71">
        <f>U79*5900</f>
        <v>54221000</v>
      </c>
      <c r="V78" s="71">
        <f>U79*2000</f>
        <v>18380000</v>
      </c>
      <c r="W78" s="71">
        <f>U79*2000</f>
        <v>18380000</v>
      </c>
    </row>
    <row r="79" spans="1:23" s="71" customFormat="1" ht="13.5" customHeight="1" x14ac:dyDescent="0.2">
      <c r="A79" s="247"/>
      <c r="B79" s="249"/>
      <c r="C79" s="64"/>
      <c r="D79" s="65"/>
      <c r="E79" s="75"/>
      <c r="F79" s="66"/>
      <c r="G79" s="66"/>
      <c r="H79" s="66"/>
      <c r="I79" s="66"/>
      <c r="J79" s="67"/>
      <c r="K79" s="114"/>
      <c r="L79" s="167"/>
      <c r="M79" s="68">
        <f>U78</f>
        <v>54221000</v>
      </c>
      <c r="N79" s="68">
        <f>V78</f>
        <v>18380000</v>
      </c>
      <c r="O79" s="68">
        <f>W78</f>
        <v>18380000</v>
      </c>
      <c r="P79" s="69">
        <f>M79/O79</f>
        <v>2.95</v>
      </c>
      <c r="Q79" s="70"/>
      <c r="R79" s="56">
        <f>O79*J79/$O$52</f>
        <v>0</v>
      </c>
      <c r="U79" s="71">
        <v>9190</v>
      </c>
    </row>
    <row r="80" spans="1:23" s="71" customFormat="1" ht="13.5" customHeight="1" x14ac:dyDescent="0.2">
      <c r="A80" s="247"/>
      <c r="B80" s="249"/>
      <c r="C80" s="77" t="s">
        <v>39</v>
      </c>
      <c r="D80" s="78">
        <v>51883</v>
      </c>
      <c r="E80" s="79">
        <v>5.2499999999999998E-2</v>
      </c>
      <c r="F80" s="80"/>
      <c r="G80" s="80"/>
      <c r="H80" s="80"/>
      <c r="I80" s="80"/>
      <c r="J80" s="81"/>
      <c r="K80" s="115"/>
      <c r="L80" s="167"/>
      <c r="M80" s="83" t="s">
        <v>69</v>
      </c>
      <c r="N80" s="83" t="s">
        <v>41</v>
      </c>
      <c r="O80" s="83" t="s">
        <v>70</v>
      </c>
      <c r="P80" s="84"/>
      <c r="Q80" s="85"/>
      <c r="R80" s="56"/>
      <c r="U80" s="71">
        <f>U81*2000</f>
        <v>18380000</v>
      </c>
      <c r="V80" s="71">
        <f>U81*500</f>
        <v>4595000</v>
      </c>
      <c r="W80" s="71">
        <f>U81*500</f>
        <v>4595000</v>
      </c>
    </row>
    <row r="81" spans="1:21" s="71" customFormat="1" ht="13.5" customHeight="1" x14ac:dyDescent="0.2">
      <c r="A81" s="247"/>
      <c r="B81" s="249"/>
      <c r="C81" s="64"/>
      <c r="D81" s="65"/>
      <c r="E81" s="75"/>
      <c r="F81" s="66"/>
      <c r="G81" s="66"/>
      <c r="H81" s="66"/>
      <c r="I81" s="66"/>
      <c r="J81" s="67"/>
      <c r="K81" s="114"/>
      <c r="L81" s="167"/>
      <c r="M81" s="68">
        <f>U80</f>
        <v>18380000</v>
      </c>
      <c r="N81" s="68">
        <f>V80</f>
        <v>4595000</v>
      </c>
      <c r="O81" s="68">
        <f>W80</f>
        <v>4595000</v>
      </c>
      <c r="P81" s="69">
        <f t="shared" ref="P81:P97" si="5">M81/O81</f>
        <v>4</v>
      </c>
      <c r="Q81" s="70"/>
      <c r="R81" s="56">
        <f>O81*J81/$O$52</f>
        <v>0</v>
      </c>
      <c r="U81" s="71">
        <v>9190</v>
      </c>
    </row>
    <row r="82" spans="1:21" ht="13.5" customHeight="1" x14ac:dyDescent="0.2">
      <c r="A82" s="89">
        <v>41023</v>
      </c>
      <c r="B82" s="89">
        <v>41026</v>
      </c>
      <c r="C82" s="125" t="s">
        <v>48</v>
      </c>
      <c r="D82" s="126">
        <v>43146</v>
      </c>
      <c r="E82" s="128">
        <v>4.4499999999999998E-2</v>
      </c>
      <c r="F82" s="128">
        <v>5.3124999999999999E-2</v>
      </c>
      <c r="G82" s="128"/>
      <c r="H82" s="128">
        <v>6.25E-2</v>
      </c>
      <c r="I82" s="128"/>
      <c r="J82" s="129">
        <v>5.3124999999999999E-2</v>
      </c>
      <c r="K82" s="129"/>
      <c r="L82" s="130">
        <v>1000000</v>
      </c>
      <c r="M82" s="130">
        <v>2674000</v>
      </c>
      <c r="N82" s="130"/>
      <c r="O82" s="130">
        <v>1500000</v>
      </c>
      <c r="P82" s="131">
        <f t="shared" si="5"/>
        <v>1.7826666666666666</v>
      </c>
      <c r="Q82" s="132"/>
      <c r="R82" s="56"/>
      <c r="S82" s="57"/>
      <c r="T82" s="57"/>
    </row>
    <row r="83" spans="1:21" ht="13.5" customHeight="1" x14ac:dyDescent="0.2">
      <c r="A83" s="89"/>
      <c r="B83" s="89"/>
      <c r="C83" s="91" t="s">
        <v>49</v>
      </c>
      <c r="D83" s="92">
        <v>44576</v>
      </c>
      <c r="E83" s="94">
        <v>5.45E-2</v>
      </c>
      <c r="F83" s="94">
        <v>6.1562499999999999E-2</v>
      </c>
      <c r="G83" s="94"/>
      <c r="H83" s="94">
        <v>6.7500000000000004E-2</v>
      </c>
      <c r="I83" s="94"/>
      <c r="J83" s="95"/>
      <c r="K83" s="95"/>
      <c r="L83" s="96"/>
      <c r="M83" s="96">
        <v>441000</v>
      </c>
      <c r="N83" s="96"/>
      <c r="O83" s="96">
        <v>0</v>
      </c>
      <c r="P83" s="97" t="e">
        <f t="shared" si="5"/>
        <v>#DIV/0!</v>
      </c>
      <c r="Q83" s="98"/>
      <c r="R83" s="56" t="e">
        <f>O83*J83/$O$43</f>
        <v>#DIV/0!</v>
      </c>
      <c r="S83" s="57">
        <f>O83*J83/$R$10</f>
        <v>0</v>
      </c>
      <c r="T83" s="57"/>
    </row>
    <row r="84" spans="1:21" ht="13.5" customHeight="1" x14ac:dyDescent="0.2">
      <c r="A84" s="100"/>
      <c r="B84" s="99"/>
      <c r="C84" s="91" t="s">
        <v>50</v>
      </c>
      <c r="D84" s="92">
        <v>46402</v>
      </c>
      <c r="E84" s="94">
        <v>0.06</v>
      </c>
      <c r="F84" s="94">
        <v>6.5000000000000002E-2</v>
      </c>
      <c r="G84" s="94"/>
      <c r="H84" s="94">
        <v>7.0000000000000007E-2</v>
      </c>
      <c r="I84" s="94"/>
      <c r="J84" s="95">
        <v>6.5302399999999997E-2</v>
      </c>
      <c r="K84" s="95"/>
      <c r="L84" s="96"/>
      <c r="M84" s="96">
        <v>841000</v>
      </c>
      <c r="N84" s="96"/>
      <c r="O84" s="96">
        <v>320000</v>
      </c>
      <c r="P84" s="97">
        <f t="shared" si="5"/>
        <v>2.6281249999999998</v>
      </c>
      <c r="Q84" s="98"/>
      <c r="R84" s="56" t="e">
        <f>O84*J84/$O$43</f>
        <v>#DIV/0!</v>
      </c>
      <c r="S84" s="57">
        <f>O84*J84/$R$10</f>
        <v>21413325.071113043</v>
      </c>
      <c r="T84" s="57"/>
    </row>
    <row r="85" spans="1:21" ht="13.5" customHeight="1" x14ac:dyDescent="0.2">
      <c r="A85" s="143"/>
      <c r="B85" s="144"/>
      <c r="C85" s="145" t="s">
        <v>53</v>
      </c>
      <c r="D85" s="146">
        <v>50086</v>
      </c>
      <c r="E85" s="147">
        <v>6.0999999999999999E-2</v>
      </c>
      <c r="F85" s="147">
        <v>6.906255E-2</v>
      </c>
      <c r="G85" s="147"/>
      <c r="H85" s="147">
        <v>7.2499999999999995E-2</v>
      </c>
      <c r="I85" s="147"/>
      <c r="J85" s="148"/>
      <c r="K85" s="148"/>
      <c r="L85" s="149"/>
      <c r="M85" s="149">
        <v>235000</v>
      </c>
      <c r="N85" s="149"/>
      <c r="O85" s="149">
        <v>0</v>
      </c>
      <c r="P85" s="150" t="e">
        <f t="shared" si="5"/>
        <v>#DIV/0!</v>
      </c>
      <c r="Q85" s="151"/>
      <c r="R85" s="56" t="e">
        <f>O85*J85/$O$43</f>
        <v>#DIV/0!</v>
      </c>
      <c r="S85" s="57">
        <f>O85*J85/$R$10</f>
        <v>0</v>
      </c>
      <c r="T85" s="57"/>
    </row>
    <row r="86" spans="1:21" s="123" customFormat="1" ht="13.5" customHeight="1" x14ac:dyDescent="0.2">
      <c r="A86" s="124">
        <v>41026</v>
      </c>
      <c r="B86" s="124">
        <v>41026</v>
      </c>
      <c r="C86" s="125" t="s">
        <v>74</v>
      </c>
      <c r="D86" s="126">
        <v>42487</v>
      </c>
      <c r="E86" s="127">
        <v>5.0299999999999997E-2</v>
      </c>
      <c r="F86" s="128"/>
      <c r="G86" s="128"/>
      <c r="H86" s="128"/>
      <c r="I86" s="128"/>
      <c r="J86" s="129">
        <v>5.0299999999999997E-2</v>
      </c>
      <c r="K86" s="129"/>
      <c r="L86" s="130">
        <v>2500000</v>
      </c>
      <c r="M86" s="130">
        <v>1000000</v>
      </c>
      <c r="N86" s="130">
        <v>1000000</v>
      </c>
      <c r="O86" s="130">
        <v>1000000</v>
      </c>
      <c r="P86" s="131">
        <f t="shared" si="5"/>
        <v>1</v>
      </c>
      <c r="Q86" s="132"/>
      <c r="R86" s="121"/>
      <c r="S86" s="122">
        <f>O86*J86/$R$10</f>
        <v>51543389.440749206</v>
      </c>
      <c r="T86" s="122"/>
    </row>
    <row r="87" spans="1:21" s="123" customFormat="1" ht="13.5" customHeight="1" x14ac:dyDescent="0.2">
      <c r="A87" s="133"/>
      <c r="B87" s="134"/>
      <c r="C87" s="135" t="s">
        <v>75</v>
      </c>
      <c r="D87" s="136">
        <v>43948</v>
      </c>
      <c r="E87" s="137">
        <v>5.79E-2</v>
      </c>
      <c r="F87" s="138"/>
      <c r="G87" s="138"/>
      <c r="H87" s="138"/>
      <c r="I87" s="138"/>
      <c r="J87" s="139">
        <v>5.79E-2</v>
      </c>
      <c r="K87" s="139"/>
      <c r="L87" s="140"/>
      <c r="M87" s="140">
        <v>1500000</v>
      </c>
      <c r="N87" s="140">
        <v>1500000</v>
      </c>
      <c r="O87" s="140">
        <v>1500000</v>
      </c>
      <c r="P87" s="141">
        <f t="shared" si="5"/>
        <v>1</v>
      </c>
      <c r="Q87" s="142"/>
      <c r="R87" s="121"/>
      <c r="S87" s="122"/>
      <c r="T87" s="122"/>
    </row>
    <row r="88" spans="1:21" ht="13.5" customHeight="1" x14ac:dyDescent="0.2">
      <c r="A88" s="89">
        <v>41031</v>
      </c>
      <c r="B88" s="89">
        <v>41033</v>
      </c>
      <c r="C88" s="91" t="s">
        <v>78</v>
      </c>
      <c r="D88" s="92">
        <v>41396</v>
      </c>
      <c r="E88" s="93">
        <v>0</v>
      </c>
      <c r="F88" s="94">
        <v>0.04</v>
      </c>
      <c r="G88" s="94">
        <v>4.0236899999999999E-2</v>
      </c>
      <c r="H88" s="94">
        <v>4.4999999999999998E-2</v>
      </c>
      <c r="I88" s="94">
        <v>0.04</v>
      </c>
      <c r="J88" s="95">
        <v>4.0468799999999999E-2</v>
      </c>
      <c r="K88" s="95">
        <v>4.0625000000000001E-2</v>
      </c>
      <c r="L88" s="96">
        <v>6000000</v>
      </c>
      <c r="M88" s="96">
        <v>3550000</v>
      </c>
      <c r="N88" s="96">
        <v>900000</v>
      </c>
      <c r="O88" s="96">
        <v>900000</v>
      </c>
      <c r="P88" s="97">
        <f t="shared" si="5"/>
        <v>3.9444444444444446</v>
      </c>
      <c r="Q88" s="98">
        <v>4.0500000000000001E-2</v>
      </c>
      <c r="R88" s="56"/>
      <c r="S88" s="57">
        <f>O88*J88/$R$10</f>
        <v>37322250.631010182</v>
      </c>
      <c r="T88" s="57"/>
    </row>
    <row r="89" spans="1:21" ht="13.5" customHeight="1" x14ac:dyDescent="0.2">
      <c r="A89" s="100"/>
      <c r="B89" s="101"/>
      <c r="C89" s="91" t="s">
        <v>34</v>
      </c>
      <c r="D89" s="92">
        <v>42840</v>
      </c>
      <c r="E89" s="94">
        <v>6.25E-2</v>
      </c>
      <c r="F89" s="94">
        <v>5.1562499999999997E-2</v>
      </c>
      <c r="G89" s="94">
        <v>5.3037599999999997E-2</v>
      </c>
      <c r="H89" s="94">
        <v>5.5625000000000001E-2</v>
      </c>
      <c r="I89" s="94">
        <v>5.1562499999999997E-2</v>
      </c>
      <c r="J89" s="95">
        <v>5.2581299999999997E-2</v>
      </c>
      <c r="K89" s="95">
        <v>5.3124999999999999E-2</v>
      </c>
      <c r="L89" s="96"/>
      <c r="M89" s="96">
        <v>1562000</v>
      </c>
      <c r="N89" s="96">
        <v>1050000</v>
      </c>
      <c r="O89" s="96">
        <v>1050000</v>
      </c>
      <c r="P89" s="97">
        <f t="shared" si="5"/>
        <v>1.4876190476190476</v>
      </c>
      <c r="Q89" s="98">
        <v>5.2600000000000001E-2</v>
      </c>
      <c r="R89" s="56">
        <v>0</v>
      </c>
      <c r="S89" s="57">
        <v>0</v>
      </c>
      <c r="T89" s="57"/>
    </row>
    <row r="90" spans="1:21" ht="13.5" customHeight="1" x14ac:dyDescent="0.2">
      <c r="A90" s="100"/>
      <c r="B90" s="101"/>
      <c r="C90" s="91" t="s">
        <v>35</v>
      </c>
      <c r="D90" s="92">
        <v>44696</v>
      </c>
      <c r="E90" s="94">
        <v>7.0000000000000007E-2</v>
      </c>
      <c r="F90" s="94">
        <v>5.9687499999999998E-2</v>
      </c>
      <c r="G90" s="94">
        <v>6.0570300000000001E-2</v>
      </c>
      <c r="H90" s="94">
        <v>6.2812499999999993E-2</v>
      </c>
      <c r="I90" s="94">
        <v>5.9687499999999998E-2</v>
      </c>
      <c r="J90" s="95">
        <v>6.02964E-2</v>
      </c>
      <c r="K90" s="95">
        <v>6.0937499999999999E-2</v>
      </c>
      <c r="L90" s="96"/>
      <c r="M90" s="96">
        <v>3747500</v>
      </c>
      <c r="N90" s="96">
        <v>2750000</v>
      </c>
      <c r="O90" s="96">
        <v>2750000</v>
      </c>
      <c r="P90" s="97">
        <f t="shared" si="5"/>
        <v>1.3627272727272728</v>
      </c>
      <c r="Q90" s="98">
        <v>6.0299999999999999E-2</v>
      </c>
      <c r="R90" s="56">
        <v>0</v>
      </c>
      <c r="S90" s="57">
        <v>0</v>
      </c>
      <c r="T90" s="57"/>
    </row>
    <row r="91" spans="1:21" ht="13.5" customHeight="1" x14ac:dyDescent="0.2">
      <c r="A91" s="100"/>
      <c r="B91" s="101"/>
      <c r="C91" s="91" t="s">
        <v>32</v>
      </c>
      <c r="D91" s="92">
        <v>48380</v>
      </c>
      <c r="E91" s="94">
        <v>8.2500000000000004E-2</v>
      </c>
      <c r="F91" s="94">
        <v>6.7812499999999998E-2</v>
      </c>
      <c r="G91" s="94">
        <v>6.8773000000000001E-2</v>
      </c>
      <c r="H91" s="94">
        <v>7.0937500000000001E-2</v>
      </c>
      <c r="I91" s="94">
        <v>6.7812499999999998E-2</v>
      </c>
      <c r="J91" s="95">
        <v>6.8396399999999996E-2</v>
      </c>
      <c r="K91" s="95">
        <v>6.8750000000000006E-2</v>
      </c>
      <c r="L91" s="96"/>
      <c r="M91" s="96">
        <v>5862000</v>
      </c>
      <c r="N91" s="96">
        <v>2850000</v>
      </c>
      <c r="O91" s="96">
        <v>2850000</v>
      </c>
      <c r="P91" s="97">
        <f t="shared" si="5"/>
        <v>2.0568421052631578</v>
      </c>
      <c r="Q91" s="98">
        <v>6.8400000000000002E-2</v>
      </c>
      <c r="R91" s="56">
        <v>1.9887751488813776E-3</v>
      </c>
      <c r="S91" s="57">
        <v>29293528.561597757</v>
      </c>
      <c r="T91" s="62"/>
    </row>
    <row r="92" spans="1:21" ht="13.5" customHeight="1" x14ac:dyDescent="0.2">
      <c r="A92" s="60">
        <v>41037</v>
      </c>
      <c r="B92" s="61">
        <v>41039</v>
      </c>
      <c r="C92" s="18" t="s">
        <v>79</v>
      </c>
      <c r="D92" s="19">
        <v>41222</v>
      </c>
      <c r="E92" s="104"/>
      <c r="F92" s="27">
        <v>3.8124999999999999E-2</v>
      </c>
      <c r="G92" s="27"/>
      <c r="H92" s="27">
        <v>0.05</v>
      </c>
      <c r="I92" s="27"/>
      <c r="J92" s="27">
        <v>3.8288700000000002E-2</v>
      </c>
      <c r="K92" s="28"/>
      <c r="L92" s="22">
        <v>1000000</v>
      </c>
      <c r="M92" s="22">
        <v>1596000</v>
      </c>
      <c r="N92" s="22">
        <v>150000</v>
      </c>
      <c r="O92" s="22">
        <v>150000</v>
      </c>
      <c r="P92" s="69">
        <f t="shared" si="5"/>
        <v>10.64</v>
      </c>
      <c r="Q92" s="56"/>
      <c r="R92" s="56"/>
      <c r="S92" s="57">
        <f>O92*J92/$R$10</f>
        <v>5885276.4670378156</v>
      </c>
      <c r="T92" s="57"/>
    </row>
    <row r="93" spans="1:21" ht="13.5" customHeight="1" x14ac:dyDescent="0.2">
      <c r="A93" s="16"/>
      <c r="B93" s="17"/>
      <c r="C93" s="18" t="s">
        <v>48</v>
      </c>
      <c r="D93" s="19">
        <v>43146</v>
      </c>
      <c r="E93" s="104">
        <v>4.4499999999999998E-2</v>
      </c>
      <c r="F93" s="27">
        <v>5.6250000000000001E-2</v>
      </c>
      <c r="G93" s="27"/>
      <c r="H93" s="27">
        <v>6.5000000000000002E-2</v>
      </c>
      <c r="I93" s="27"/>
      <c r="J93" s="28"/>
      <c r="K93" s="28"/>
      <c r="L93" s="22"/>
      <c r="M93" s="22">
        <v>207000</v>
      </c>
      <c r="N93" s="22"/>
      <c r="O93" s="22"/>
      <c r="P93" s="69"/>
      <c r="Q93" s="56"/>
      <c r="R93" s="56"/>
      <c r="S93" s="57"/>
      <c r="T93" s="57"/>
    </row>
    <row r="94" spans="1:21" ht="13.5" customHeight="1" x14ac:dyDescent="0.2">
      <c r="A94" s="16"/>
      <c r="B94" s="17"/>
      <c r="C94" s="18" t="s">
        <v>49</v>
      </c>
      <c r="D94" s="19">
        <v>44576</v>
      </c>
      <c r="E94" s="104">
        <v>5.45E-2</v>
      </c>
      <c r="F94" s="27">
        <v>6.1874999999999999E-2</v>
      </c>
      <c r="G94" s="27"/>
      <c r="H94" s="27">
        <v>7.0000000000000007E-2</v>
      </c>
      <c r="I94" s="27"/>
      <c r="J94" s="28">
        <v>6.2195100000000003E-2</v>
      </c>
      <c r="K94" s="28"/>
      <c r="L94" s="22"/>
      <c r="M94" s="22">
        <v>361000</v>
      </c>
      <c r="N94" s="22">
        <v>225000</v>
      </c>
      <c r="O94" s="22">
        <v>225000</v>
      </c>
      <c r="P94" s="69">
        <f t="shared" si="5"/>
        <v>1.6044444444444443</v>
      </c>
      <c r="Q94" s="56"/>
      <c r="R94" s="56" t="e">
        <f>O94*J94/$O$43</f>
        <v>#DIV/0!</v>
      </c>
      <c r="S94" s="57">
        <f>O94*J94/$R$10</f>
        <v>14339819.257185424</v>
      </c>
      <c r="T94" s="57"/>
    </row>
    <row r="95" spans="1:21" ht="13.5" customHeight="1" x14ac:dyDescent="0.2">
      <c r="A95" s="16"/>
      <c r="B95" s="17"/>
      <c r="C95" s="18" t="s">
        <v>50</v>
      </c>
      <c r="D95" s="19">
        <v>46402</v>
      </c>
      <c r="E95" s="27">
        <v>0.06</v>
      </c>
      <c r="F95" s="27">
        <v>6.5625000000000003E-2</v>
      </c>
      <c r="G95" s="27"/>
      <c r="H95" s="27">
        <v>7.7499999999999999E-2</v>
      </c>
      <c r="I95" s="27"/>
      <c r="J95" s="28">
        <v>6.6106200000000004E-2</v>
      </c>
      <c r="K95" s="28"/>
      <c r="L95" s="22"/>
      <c r="M95" s="22">
        <v>651000</v>
      </c>
      <c r="N95" s="22">
        <v>640000</v>
      </c>
      <c r="O95" s="22">
        <v>640000</v>
      </c>
      <c r="P95" s="69">
        <f t="shared" si="5"/>
        <v>1.0171874999999999</v>
      </c>
      <c r="Q95" s="108"/>
      <c r="R95" s="56" t="e">
        <f>O95*J95/$O$43</f>
        <v>#DIV/0!</v>
      </c>
      <c r="S95" s="57">
        <f>O95*J95/$R$10</f>
        <v>43353798.629637286</v>
      </c>
      <c r="T95" s="57"/>
    </row>
    <row r="96" spans="1:21" ht="13.5" customHeight="1" x14ac:dyDescent="0.2">
      <c r="A96" s="16"/>
      <c r="B96" s="17"/>
      <c r="C96" s="18" t="s">
        <v>53</v>
      </c>
      <c r="D96" s="19">
        <v>50086</v>
      </c>
      <c r="E96" s="27">
        <v>6.0999999999999999E-2</v>
      </c>
      <c r="F96" s="27">
        <v>6.9375000000000006E-2</v>
      </c>
      <c r="G96" s="27"/>
      <c r="H96" s="27">
        <v>7.1874999999999994E-2</v>
      </c>
      <c r="I96" s="27"/>
      <c r="J96" s="28"/>
      <c r="K96" s="28"/>
      <c r="L96" s="22"/>
      <c r="M96" s="22">
        <v>264000</v>
      </c>
      <c r="N96" s="22"/>
      <c r="O96" s="22"/>
      <c r="P96" s="69"/>
      <c r="Q96" s="108"/>
      <c r="R96" s="56" t="e">
        <f>O96*J96/$O$43</f>
        <v>#DIV/0!</v>
      </c>
      <c r="S96" s="57">
        <f>O96*J96/$R$10</f>
        <v>0</v>
      </c>
      <c r="T96" s="57"/>
    </row>
    <row r="97" spans="1:20" ht="13.5" customHeight="1" x14ac:dyDescent="0.2">
      <c r="A97" s="60">
        <v>41038</v>
      </c>
      <c r="B97" s="61">
        <v>41039</v>
      </c>
      <c r="C97" s="18" t="s">
        <v>80</v>
      </c>
      <c r="D97" s="19">
        <v>41222</v>
      </c>
      <c r="E97" s="27"/>
      <c r="F97" s="27"/>
      <c r="G97" s="27"/>
      <c r="H97" s="27"/>
      <c r="I97" s="27"/>
      <c r="J97" s="27">
        <v>3.8288700000000002E-2</v>
      </c>
      <c r="K97" s="28"/>
      <c r="L97" s="22"/>
      <c r="M97" s="22">
        <v>755000</v>
      </c>
      <c r="N97" s="22">
        <v>755000</v>
      </c>
      <c r="O97" s="22">
        <v>755000</v>
      </c>
      <c r="P97" s="69">
        <f t="shared" si="5"/>
        <v>1</v>
      </c>
      <c r="Q97" s="108"/>
      <c r="R97" s="56"/>
      <c r="S97" s="57"/>
      <c r="T97" s="57"/>
    </row>
    <row r="98" spans="1:20" ht="13.5" customHeight="1" x14ac:dyDescent="0.2">
      <c r="A98" s="124">
        <v>41043</v>
      </c>
      <c r="B98" s="124">
        <v>41045</v>
      </c>
      <c r="C98" s="125" t="s">
        <v>81</v>
      </c>
      <c r="D98" s="126">
        <v>41108</v>
      </c>
      <c r="E98" s="127">
        <v>0</v>
      </c>
      <c r="F98" s="128">
        <v>3.5000000000000003E-2</v>
      </c>
      <c r="G98" s="128">
        <v>4.0708599999999998E-2</v>
      </c>
      <c r="H98" s="128">
        <v>4.2500000000000003E-2</v>
      </c>
      <c r="I98" s="128"/>
      <c r="J98" s="129"/>
      <c r="K98" s="129"/>
      <c r="L98" s="130">
        <v>6000000</v>
      </c>
      <c r="M98" s="130">
        <v>2655000</v>
      </c>
      <c r="N98" s="130">
        <v>0</v>
      </c>
      <c r="O98" s="130">
        <v>0</v>
      </c>
      <c r="P98" s="131">
        <v>0</v>
      </c>
      <c r="Q98" s="132">
        <v>3.2899999999999999E-2</v>
      </c>
      <c r="R98" s="56"/>
      <c r="S98" s="57">
        <f>O98*J98/$R$10</f>
        <v>0</v>
      </c>
      <c r="T98" s="57"/>
    </row>
    <row r="99" spans="1:20" ht="13.5" customHeight="1" x14ac:dyDescent="0.2">
      <c r="A99" s="100"/>
      <c r="B99" s="99"/>
      <c r="C99" s="91" t="s">
        <v>82</v>
      </c>
      <c r="D99" s="92">
        <v>41368</v>
      </c>
      <c r="E99" s="93">
        <v>0</v>
      </c>
      <c r="F99" s="94">
        <v>4.1875000000000002E-2</v>
      </c>
      <c r="G99" s="94">
        <v>4.6793800000000003E-2</v>
      </c>
      <c r="H99" s="94">
        <v>0.05</v>
      </c>
      <c r="I99" s="94"/>
      <c r="J99" s="95"/>
      <c r="K99" s="95"/>
      <c r="L99" s="96"/>
      <c r="M99" s="96">
        <v>2780000</v>
      </c>
      <c r="N99" s="96">
        <v>0</v>
      </c>
      <c r="O99" s="96">
        <v>0</v>
      </c>
      <c r="P99" s="97">
        <v>0</v>
      </c>
      <c r="Q99" s="98">
        <v>3.9699999999999999E-2</v>
      </c>
      <c r="R99" s="56"/>
      <c r="S99" s="57"/>
      <c r="T99" s="57"/>
    </row>
    <row r="100" spans="1:20" ht="13.5" customHeight="1" x14ac:dyDescent="0.2">
      <c r="A100" s="100"/>
      <c r="B100" s="101"/>
      <c r="C100" s="91" t="s">
        <v>35</v>
      </c>
      <c r="D100" s="92">
        <v>44696</v>
      </c>
      <c r="E100" s="94">
        <v>7.0000000000000007E-2</v>
      </c>
      <c r="F100" s="94">
        <v>6.2812499999999993E-2</v>
      </c>
      <c r="G100" s="94">
        <v>6.4113299999999998E-2</v>
      </c>
      <c r="H100" s="94">
        <v>6.5937499999999996E-2</v>
      </c>
      <c r="I100" s="94">
        <v>6.2812499999999993E-2</v>
      </c>
      <c r="J100" s="95">
        <v>6.2980800000000003E-2</v>
      </c>
      <c r="K100" s="95">
        <v>6.3125000000000001E-2</v>
      </c>
      <c r="L100" s="96"/>
      <c r="M100" s="96">
        <v>3511000</v>
      </c>
      <c r="N100" s="96">
        <v>500000</v>
      </c>
      <c r="O100" s="96">
        <v>500000</v>
      </c>
      <c r="P100" s="97">
        <f>M100/O100</f>
        <v>7.0220000000000002</v>
      </c>
      <c r="Q100" s="98">
        <v>6.3E-2</v>
      </c>
      <c r="R100" s="56">
        <v>0</v>
      </c>
      <c r="S100" s="57">
        <v>0</v>
      </c>
      <c r="T100" s="57"/>
    </row>
    <row r="101" spans="1:20" ht="13.5" customHeight="1" x14ac:dyDescent="0.2">
      <c r="A101" s="100"/>
      <c r="B101" s="101"/>
      <c r="C101" s="91" t="s">
        <v>43</v>
      </c>
      <c r="D101" s="92">
        <v>46522</v>
      </c>
      <c r="E101" s="94">
        <v>7.0000000000000007E-2</v>
      </c>
      <c r="F101" s="94">
        <v>6.6875000000000004E-2</v>
      </c>
      <c r="G101" s="94">
        <v>6.7849499999999993E-2</v>
      </c>
      <c r="H101" s="94">
        <v>7.0000000000000007E-2</v>
      </c>
      <c r="I101" s="94">
        <v>6.6875000000000004E-2</v>
      </c>
      <c r="J101" s="94">
        <v>6.6875000000000004E-2</v>
      </c>
      <c r="K101" s="94">
        <v>6.6875000000000004E-2</v>
      </c>
      <c r="L101" s="96"/>
      <c r="M101" s="96">
        <v>2100000</v>
      </c>
      <c r="N101" s="96">
        <v>300000</v>
      </c>
      <c r="O101" s="96">
        <v>275000</v>
      </c>
      <c r="P101" s="97">
        <f>M101/O101</f>
        <v>7.6363636363636367</v>
      </c>
      <c r="Q101" s="98">
        <v>6.6900000000000001E-2</v>
      </c>
      <c r="R101" s="56">
        <v>0</v>
      </c>
      <c r="S101" s="57">
        <v>0</v>
      </c>
      <c r="T101" s="57"/>
    </row>
    <row r="102" spans="1:20" ht="13.5" customHeight="1" x14ac:dyDescent="0.2">
      <c r="A102" s="133"/>
      <c r="B102" s="153"/>
      <c r="C102" s="135" t="s">
        <v>32</v>
      </c>
      <c r="D102" s="136">
        <v>48380</v>
      </c>
      <c r="E102" s="138">
        <v>8.2500000000000004E-2</v>
      </c>
      <c r="F102" s="138">
        <v>7.0000000000000007E-2</v>
      </c>
      <c r="G102" s="138">
        <v>7.1698100000000001E-2</v>
      </c>
      <c r="H102" s="138">
        <v>7.4999999999999997E-2</v>
      </c>
      <c r="I102" s="138"/>
      <c r="J102" s="139"/>
      <c r="K102" s="139"/>
      <c r="L102" s="140"/>
      <c r="M102" s="140">
        <v>2263000</v>
      </c>
      <c r="N102" s="140">
        <v>0</v>
      </c>
      <c r="O102" s="140">
        <v>0</v>
      </c>
      <c r="P102" s="141"/>
      <c r="Q102" s="142">
        <v>6.9500000000000006E-2</v>
      </c>
      <c r="R102" s="56">
        <v>1.9887751488813776E-3</v>
      </c>
      <c r="S102" s="57">
        <v>29293528.561597757</v>
      </c>
      <c r="T102" s="62"/>
    </row>
    <row r="103" spans="1:20" ht="13.5" customHeight="1" x14ac:dyDescent="0.2">
      <c r="A103" s="60">
        <v>41051</v>
      </c>
      <c r="B103" s="61">
        <v>41053</v>
      </c>
      <c r="C103" s="18" t="s">
        <v>48</v>
      </c>
      <c r="D103" s="19">
        <v>43146</v>
      </c>
      <c r="E103" s="104">
        <v>4.4499999999999998E-2</v>
      </c>
      <c r="F103" s="27"/>
      <c r="G103" s="27"/>
      <c r="H103" s="27"/>
      <c r="I103" s="27"/>
      <c r="J103" s="28"/>
      <c r="K103" s="28"/>
      <c r="L103" s="22">
        <v>1000000</v>
      </c>
      <c r="M103" s="22">
        <v>145000</v>
      </c>
      <c r="N103" s="22">
        <v>115000</v>
      </c>
      <c r="O103" s="22">
        <v>115000</v>
      </c>
      <c r="P103" s="69"/>
      <c r="Q103" s="56"/>
      <c r="R103" s="56"/>
      <c r="S103" s="57">
        <f>O103*J103/$R$10</f>
        <v>0</v>
      </c>
      <c r="T103" s="57"/>
    </row>
    <row r="104" spans="1:20" ht="13.5" customHeight="1" x14ac:dyDescent="0.2">
      <c r="A104" s="16"/>
      <c r="B104" s="17"/>
      <c r="C104" s="18" t="s">
        <v>49</v>
      </c>
      <c r="D104" s="19">
        <v>44576</v>
      </c>
      <c r="E104" s="104">
        <v>5.45E-2</v>
      </c>
      <c r="F104" s="27"/>
      <c r="G104" s="27"/>
      <c r="H104" s="27"/>
      <c r="I104" s="27"/>
      <c r="J104" s="28"/>
      <c r="K104" s="28"/>
      <c r="L104" s="22"/>
      <c r="M104" s="22">
        <v>306000</v>
      </c>
      <c r="N104" s="22">
        <v>105000</v>
      </c>
      <c r="O104" s="22">
        <v>105000</v>
      </c>
      <c r="P104" s="69"/>
      <c r="Q104" s="56"/>
      <c r="R104" s="56"/>
      <c r="S104" s="57"/>
      <c r="T104" s="57"/>
    </row>
    <row r="105" spans="1:20" ht="13.5" customHeight="1" x14ac:dyDescent="0.2">
      <c r="A105" s="16"/>
      <c r="B105" s="17"/>
      <c r="C105" s="18" t="s">
        <v>50</v>
      </c>
      <c r="D105" s="19">
        <v>46402</v>
      </c>
      <c r="E105" s="27">
        <v>0.06</v>
      </c>
      <c r="F105" s="27"/>
      <c r="G105" s="27"/>
      <c r="H105" s="27"/>
      <c r="I105" s="27"/>
      <c r="J105" s="28"/>
      <c r="K105" s="28"/>
      <c r="L105" s="22"/>
      <c r="M105" s="22">
        <v>124000</v>
      </c>
      <c r="N105" s="22"/>
      <c r="O105" s="22"/>
      <c r="P105" s="69"/>
      <c r="Q105" s="108"/>
      <c r="R105" s="56" t="e">
        <f>O105*J105/$O$43</f>
        <v>#DIV/0!</v>
      </c>
      <c r="S105" s="57">
        <f>O105*J105/$R$10</f>
        <v>0</v>
      </c>
      <c r="T105" s="57"/>
    </row>
    <row r="106" spans="1:20" ht="13.5" customHeight="1" x14ac:dyDescent="0.2">
      <c r="A106" s="16"/>
      <c r="B106" s="17"/>
      <c r="C106" s="18" t="s">
        <v>53</v>
      </c>
      <c r="D106" s="19">
        <v>50086</v>
      </c>
      <c r="E106" s="27">
        <v>6.0999999999999999E-2</v>
      </c>
      <c r="F106" s="27"/>
      <c r="G106" s="27"/>
      <c r="H106" s="27"/>
      <c r="I106" s="27"/>
      <c r="J106" s="28"/>
      <c r="K106" s="28"/>
      <c r="L106" s="22"/>
      <c r="M106" s="22">
        <v>843000</v>
      </c>
      <c r="N106" s="22">
        <v>330000</v>
      </c>
      <c r="O106" s="22">
        <v>330000</v>
      </c>
      <c r="P106" s="69"/>
      <c r="Q106" s="108"/>
      <c r="R106" s="56" t="e">
        <f>O106*J106/$O$43</f>
        <v>#DIV/0!</v>
      </c>
      <c r="S106" s="57">
        <f>O106*J106/$R$10</f>
        <v>0</v>
      </c>
      <c r="T106" s="57"/>
    </row>
    <row r="107" spans="1:20" ht="13.5" customHeight="1" x14ac:dyDescent="0.2">
      <c r="A107" s="60">
        <v>41059</v>
      </c>
      <c r="B107" s="61">
        <v>41059</v>
      </c>
      <c r="C107" s="18" t="s">
        <v>84</v>
      </c>
      <c r="D107" s="19">
        <v>43250</v>
      </c>
      <c r="E107" s="27">
        <v>6.0600000000000001E-2</v>
      </c>
      <c r="F107" s="27"/>
      <c r="G107" s="27"/>
      <c r="H107" s="27"/>
      <c r="I107" s="27"/>
      <c r="J107" s="27">
        <v>6.0600000000000001E-2</v>
      </c>
      <c r="K107" s="28"/>
      <c r="L107" s="22"/>
      <c r="M107" s="22">
        <v>2500000</v>
      </c>
      <c r="N107" s="22">
        <v>2500000</v>
      </c>
      <c r="O107" s="22">
        <v>2500000</v>
      </c>
      <c r="P107" s="69">
        <f>M107/O107</f>
        <v>1</v>
      </c>
      <c r="Q107" s="108"/>
      <c r="R107" s="56"/>
      <c r="S107" s="57"/>
      <c r="T107" s="57"/>
    </row>
    <row r="108" spans="1:20" ht="13.5" customHeight="1" x14ac:dyDescent="0.2">
      <c r="A108" s="124">
        <v>41065</v>
      </c>
      <c r="B108" s="124">
        <v>41067</v>
      </c>
      <c r="C108" s="125" t="s">
        <v>83</v>
      </c>
      <c r="D108" s="126">
        <v>41431</v>
      </c>
      <c r="E108" s="127">
        <v>0</v>
      </c>
      <c r="F108" s="128">
        <v>4.1250000000000002E-2</v>
      </c>
      <c r="G108" s="128">
        <v>4.5435400000000001E-2</v>
      </c>
      <c r="H108" s="128">
        <v>4.8125000000000001E-2</v>
      </c>
      <c r="I108" s="94">
        <v>4.1250000000000002E-2</v>
      </c>
      <c r="J108" s="94">
        <v>4.1250000000000002E-2</v>
      </c>
      <c r="K108" s="94">
        <v>4.1250000000000002E-2</v>
      </c>
      <c r="L108" s="130">
        <v>5000000</v>
      </c>
      <c r="M108" s="130">
        <v>2425000</v>
      </c>
      <c r="N108" s="130">
        <v>1780000</v>
      </c>
      <c r="O108" s="130">
        <v>730000</v>
      </c>
      <c r="P108" s="97">
        <f t="shared" ref="P108:P113" si="6">M108/O108</f>
        <v>3.3219178082191783</v>
      </c>
      <c r="Q108" s="132">
        <v>4.4499999999999998E-2</v>
      </c>
      <c r="R108" s="56"/>
      <c r="S108" s="57">
        <f>O108*J108/$R$10</f>
        <v>30856865.100090668</v>
      </c>
      <c r="T108" s="57"/>
    </row>
    <row r="109" spans="1:20" ht="13.5" customHeight="1" x14ac:dyDescent="0.2">
      <c r="A109" s="100"/>
      <c r="B109" s="99"/>
      <c r="C109" s="91" t="s">
        <v>34</v>
      </c>
      <c r="D109" s="92">
        <v>42840</v>
      </c>
      <c r="E109" s="94">
        <v>6.25E-2</v>
      </c>
      <c r="F109" s="94">
        <v>5.4062499999999999E-2</v>
      </c>
      <c r="G109" s="94">
        <v>5.6661599999999999E-2</v>
      </c>
      <c r="H109" s="94">
        <v>0.06</v>
      </c>
      <c r="I109" s="94">
        <v>5.4062499999999999E-2</v>
      </c>
      <c r="J109" s="94">
        <v>5.5689500000000003E-2</v>
      </c>
      <c r="K109" s="94">
        <v>5.6562500000000002E-2</v>
      </c>
      <c r="L109" s="96"/>
      <c r="M109" s="96">
        <v>2680000</v>
      </c>
      <c r="N109" s="96">
        <v>1550000</v>
      </c>
      <c r="O109" s="96">
        <v>1550000</v>
      </c>
      <c r="P109" s="97">
        <f t="shared" si="6"/>
        <v>1.7290322580645161</v>
      </c>
      <c r="Q109" s="98">
        <v>5.57E-2</v>
      </c>
      <c r="R109" s="56"/>
      <c r="S109" s="57"/>
      <c r="T109" s="57"/>
    </row>
    <row r="110" spans="1:20" ht="13.5" customHeight="1" x14ac:dyDescent="0.2">
      <c r="A110" s="100"/>
      <c r="B110" s="101"/>
      <c r="C110" s="91" t="s">
        <v>35</v>
      </c>
      <c r="D110" s="92">
        <v>44696</v>
      </c>
      <c r="E110" s="94">
        <v>7.0000000000000007E-2</v>
      </c>
      <c r="F110" s="94">
        <v>6.4375000000000002E-2</v>
      </c>
      <c r="G110" s="94">
        <v>6.53035E-2</v>
      </c>
      <c r="H110" s="94">
        <v>6.8750000000000006E-2</v>
      </c>
      <c r="I110" s="94">
        <v>6.4375000000000002E-2</v>
      </c>
      <c r="J110" s="94">
        <v>6.5028199999999994E-2</v>
      </c>
      <c r="K110" s="94">
        <v>6.5625000000000003E-2</v>
      </c>
      <c r="L110" s="96"/>
      <c r="M110" s="96">
        <v>4652000</v>
      </c>
      <c r="N110" s="96">
        <v>3800000</v>
      </c>
      <c r="O110" s="96">
        <v>3500000</v>
      </c>
      <c r="P110" s="97">
        <f t="shared" si="6"/>
        <v>1.3291428571428572</v>
      </c>
      <c r="Q110" s="98">
        <v>6.5100000000000005E-2</v>
      </c>
      <c r="R110" s="56">
        <v>0</v>
      </c>
      <c r="S110" s="57">
        <v>0</v>
      </c>
      <c r="T110" s="57"/>
    </row>
    <row r="111" spans="1:20" ht="13.5" customHeight="1" x14ac:dyDescent="0.2">
      <c r="A111" s="100"/>
      <c r="B111" s="101"/>
      <c r="C111" s="135" t="s">
        <v>32</v>
      </c>
      <c r="D111" s="136">
        <v>48380</v>
      </c>
      <c r="E111" s="138">
        <v>8.2500000000000004E-2</v>
      </c>
      <c r="F111" s="94">
        <v>7.2187500000000002E-2</v>
      </c>
      <c r="G111" s="94">
        <v>7.2802599999999995E-2</v>
      </c>
      <c r="H111" s="94">
        <v>7.3749999999999996E-2</v>
      </c>
      <c r="I111" s="94">
        <v>7.2187500000000002E-2</v>
      </c>
      <c r="J111" s="94">
        <v>7.2480900000000001E-2</v>
      </c>
      <c r="K111" s="94">
        <v>7.2499999999999995E-2</v>
      </c>
      <c r="L111" s="96"/>
      <c r="M111" s="96">
        <v>4410000</v>
      </c>
      <c r="N111" s="96">
        <v>1900000</v>
      </c>
      <c r="O111" s="96">
        <v>1720000</v>
      </c>
      <c r="P111" s="97">
        <f t="shared" si="6"/>
        <v>2.5639534883720931</v>
      </c>
      <c r="Q111" s="98">
        <v>7.2499999999999995E-2</v>
      </c>
      <c r="R111" s="56">
        <v>0</v>
      </c>
      <c r="S111" s="57">
        <v>0</v>
      </c>
      <c r="T111" s="57"/>
    </row>
    <row r="112" spans="1:20" ht="13.5" customHeight="1" x14ac:dyDescent="0.2">
      <c r="A112" s="60">
        <v>41072</v>
      </c>
      <c r="B112" s="61">
        <v>41074</v>
      </c>
      <c r="C112" s="18" t="s">
        <v>85</v>
      </c>
      <c r="D112" s="19"/>
      <c r="E112" s="104"/>
      <c r="F112" s="27"/>
      <c r="G112" s="27"/>
      <c r="H112" s="27"/>
      <c r="I112" s="27"/>
      <c r="J112" s="27"/>
      <c r="K112" s="28"/>
      <c r="L112" s="22">
        <v>1000000</v>
      </c>
      <c r="M112" s="22">
        <v>726000</v>
      </c>
      <c r="N112" s="22"/>
      <c r="O112" s="22"/>
      <c r="P112" s="69"/>
      <c r="Q112" s="56"/>
      <c r="R112" s="56"/>
      <c r="S112" s="57">
        <f>O112*J112/$R$10</f>
        <v>0</v>
      </c>
      <c r="T112" s="57"/>
    </row>
    <row r="113" spans="1:20" ht="13.5" customHeight="1" x14ac:dyDescent="0.2">
      <c r="A113" s="16"/>
      <c r="B113" s="17"/>
      <c r="C113" s="18" t="s">
        <v>48</v>
      </c>
      <c r="D113" s="19">
        <v>43146</v>
      </c>
      <c r="E113" s="104">
        <v>4.4499999999999998E-2</v>
      </c>
      <c r="F113" s="27"/>
      <c r="G113" s="27"/>
      <c r="H113" s="27"/>
      <c r="I113" s="27"/>
      <c r="J113" s="28"/>
      <c r="K113" s="28"/>
      <c r="L113" s="22"/>
      <c r="M113" s="22">
        <v>1146000</v>
      </c>
      <c r="N113" s="22"/>
      <c r="O113" s="22">
        <v>800000</v>
      </c>
      <c r="P113" s="69">
        <f t="shared" si="6"/>
        <v>1.4325000000000001</v>
      </c>
      <c r="Q113" s="56"/>
      <c r="R113" s="56"/>
      <c r="S113" s="57"/>
      <c r="T113" s="57"/>
    </row>
    <row r="114" spans="1:20" ht="13.5" customHeight="1" x14ac:dyDescent="0.2">
      <c r="A114" s="16"/>
      <c r="B114" s="17"/>
      <c r="C114" s="18" t="s">
        <v>49</v>
      </c>
      <c r="D114" s="19">
        <v>44576</v>
      </c>
      <c r="E114" s="104">
        <v>5.45E-2</v>
      </c>
      <c r="F114" s="27"/>
      <c r="G114" s="27"/>
      <c r="H114" s="27"/>
      <c r="I114" s="27"/>
      <c r="J114" s="28"/>
      <c r="K114" s="28"/>
      <c r="L114" s="22"/>
      <c r="M114" s="22">
        <v>101000</v>
      </c>
      <c r="N114" s="22"/>
      <c r="O114" s="22"/>
      <c r="P114" s="69"/>
      <c r="Q114" s="56"/>
      <c r="R114" s="56" t="e">
        <f>O114*J114/$O$43</f>
        <v>#DIV/0!</v>
      </c>
      <c r="S114" s="57">
        <f>O114*J114/$R$10</f>
        <v>0</v>
      </c>
      <c r="T114" s="57"/>
    </row>
    <row r="115" spans="1:20" ht="13.5" customHeight="1" x14ac:dyDescent="0.2">
      <c r="A115" s="16"/>
      <c r="B115" s="17"/>
      <c r="C115" s="18" t="s">
        <v>50</v>
      </c>
      <c r="D115" s="19">
        <v>46402</v>
      </c>
      <c r="E115" s="27">
        <v>0.06</v>
      </c>
      <c r="F115" s="27"/>
      <c r="G115" s="27"/>
      <c r="H115" s="27"/>
      <c r="I115" s="27"/>
      <c r="J115" s="28"/>
      <c r="K115" s="28"/>
      <c r="L115" s="22"/>
      <c r="M115" s="22">
        <v>31000</v>
      </c>
      <c r="N115" s="22"/>
      <c r="O115" s="22"/>
      <c r="P115" s="69"/>
      <c r="Q115" s="108"/>
      <c r="R115" s="56" t="e">
        <f>O115*J115/$O$43</f>
        <v>#DIV/0!</v>
      </c>
      <c r="S115" s="57">
        <f>O115*J115/$R$10</f>
        <v>0</v>
      </c>
      <c r="T115" s="57"/>
    </row>
    <row r="116" spans="1:20" ht="13.5" customHeight="1" x14ac:dyDescent="0.2">
      <c r="A116" s="16"/>
      <c r="B116" s="17"/>
      <c r="C116" s="18" t="s">
        <v>53</v>
      </c>
      <c r="D116" s="19">
        <v>50086</v>
      </c>
      <c r="E116" s="27">
        <v>6.0999999999999999E-2</v>
      </c>
      <c r="F116" s="27"/>
      <c r="G116" s="27"/>
      <c r="H116" s="27"/>
      <c r="I116" s="27"/>
      <c r="J116" s="28"/>
      <c r="K116" s="28"/>
      <c r="L116" s="22"/>
      <c r="M116" s="22">
        <v>259000</v>
      </c>
      <c r="N116" s="22"/>
      <c r="O116" s="22"/>
      <c r="P116" s="69"/>
      <c r="Q116" s="108"/>
      <c r="R116" s="56" t="e">
        <f>O116*J116/$O$43</f>
        <v>#DIV/0!</v>
      </c>
      <c r="S116" s="57">
        <f>O116*J116/$R$10</f>
        <v>0</v>
      </c>
      <c r="T116" s="57"/>
    </row>
    <row r="117" spans="1:20" ht="13.5" customHeight="1" x14ac:dyDescent="0.2">
      <c r="A117" s="124">
        <v>41079</v>
      </c>
      <c r="B117" s="124">
        <v>41081</v>
      </c>
      <c r="C117" s="125" t="s">
        <v>86</v>
      </c>
      <c r="D117" s="126">
        <v>41172</v>
      </c>
      <c r="E117" s="127">
        <v>0</v>
      </c>
      <c r="F117" s="128">
        <v>3.8124999999999999E-2</v>
      </c>
      <c r="G117" s="128">
        <v>4.0517400000000002E-2</v>
      </c>
      <c r="H117" s="128">
        <v>4.2812500000000003E-2</v>
      </c>
      <c r="I117" s="128">
        <v>3.8124999999999999E-2</v>
      </c>
      <c r="J117" s="129">
        <v>3.8978100000000002E-2</v>
      </c>
      <c r="K117" s="129">
        <v>3.9375E-2</v>
      </c>
      <c r="L117" s="130">
        <v>5000000</v>
      </c>
      <c r="M117" s="130">
        <v>1685000</v>
      </c>
      <c r="N117" s="130">
        <v>500000</v>
      </c>
      <c r="O117" s="130">
        <v>500000</v>
      </c>
      <c r="P117" s="97">
        <f t="shared" ref="P117:P122" si="7">M117/O117</f>
        <v>3.37</v>
      </c>
      <c r="Q117" s="132">
        <v>3.9E-2</v>
      </c>
      <c r="R117" s="56"/>
      <c r="S117" s="57">
        <f>O117*J117/$R$10</f>
        <v>19970809.025451954</v>
      </c>
      <c r="T117" s="57"/>
    </row>
    <row r="118" spans="1:20" ht="13.5" customHeight="1" x14ac:dyDescent="0.2">
      <c r="A118" s="100"/>
      <c r="B118" s="99"/>
      <c r="C118" s="125" t="s">
        <v>87</v>
      </c>
      <c r="D118" s="126">
        <v>41431</v>
      </c>
      <c r="E118" s="93">
        <v>0</v>
      </c>
      <c r="F118" s="94">
        <v>4.2500000000000003E-2</v>
      </c>
      <c r="G118" s="94">
        <v>4.4346900000000002E-2</v>
      </c>
      <c r="H118" s="94">
        <v>4.8750000000000002E-2</v>
      </c>
      <c r="I118" s="94">
        <v>4.2500000000000003E-2</v>
      </c>
      <c r="J118" s="95">
        <v>4.3333299999999998E-2</v>
      </c>
      <c r="K118" s="95">
        <v>4.3749999999999997E-2</v>
      </c>
      <c r="L118" s="96"/>
      <c r="M118" s="96">
        <v>1271400</v>
      </c>
      <c r="N118" s="96">
        <v>1250000</v>
      </c>
      <c r="O118" s="96">
        <v>1150000</v>
      </c>
      <c r="P118" s="97">
        <f t="shared" si="7"/>
        <v>1.1055652173913044</v>
      </c>
      <c r="Q118" s="98">
        <v>4.3999999999999997E-2</v>
      </c>
      <c r="R118" s="56"/>
      <c r="S118" s="57"/>
      <c r="T118" s="57"/>
    </row>
    <row r="119" spans="1:20" ht="13.5" customHeight="1" x14ac:dyDescent="0.2">
      <c r="A119" s="100"/>
      <c r="B119" s="101"/>
      <c r="C119" s="91" t="s">
        <v>35</v>
      </c>
      <c r="D119" s="92">
        <v>44696</v>
      </c>
      <c r="E119" s="94">
        <v>7.0000000000000007E-2</v>
      </c>
      <c r="F119" s="94">
        <v>6.3437499999999994E-2</v>
      </c>
      <c r="G119" s="94">
        <v>6.4400700000000005E-2</v>
      </c>
      <c r="H119" s="94">
        <v>6.5625000000000003E-2</v>
      </c>
      <c r="I119" s="94">
        <v>6.3437499999999994E-2</v>
      </c>
      <c r="J119" s="95">
        <v>6.3898899999999995E-2</v>
      </c>
      <c r="K119" s="95">
        <v>6.4062499999999994E-2</v>
      </c>
      <c r="L119" s="96"/>
      <c r="M119" s="96">
        <v>4972000</v>
      </c>
      <c r="N119" s="96">
        <v>950000</v>
      </c>
      <c r="O119" s="96">
        <v>950000</v>
      </c>
      <c r="P119" s="97">
        <f t="shared" si="7"/>
        <v>5.2336842105263157</v>
      </c>
      <c r="Q119" s="98">
        <v>6.3899999999999998E-2</v>
      </c>
      <c r="R119" s="56">
        <v>0</v>
      </c>
      <c r="S119" s="57">
        <v>0</v>
      </c>
      <c r="T119" s="57"/>
    </row>
    <row r="120" spans="1:20" ht="13.5" customHeight="1" x14ac:dyDescent="0.2">
      <c r="A120" s="100"/>
      <c r="B120" s="101"/>
      <c r="C120" s="91" t="s">
        <v>43</v>
      </c>
      <c r="D120" s="92">
        <v>46522</v>
      </c>
      <c r="E120" s="94">
        <v>7.0000000000000007E-2</v>
      </c>
      <c r="F120" s="94">
        <v>6.7187499999999997E-2</v>
      </c>
      <c r="G120" s="94">
        <v>6.7648200000000006E-2</v>
      </c>
      <c r="H120" s="94">
        <v>6.9062499999999999E-2</v>
      </c>
      <c r="I120" s="94">
        <v>6.7187499999999997E-2</v>
      </c>
      <c r="J120" s="94">
        <v>6.7388000000000003E-2</v>
      </c>
      <c r="K120" s="94">
        <v>6.7812499999999998E-2</v>
      </c>
      <c r="L120" s="96"/>
      <c r="M120" s="96">
        <v>2540000</v>
      </c>
      <c r="N120" s="96">
        <v>1600000</v>
      </c>
      <c r="O120" s="96">
        <v>1600000</v>
      </c>
      <c r="P120" s="97">
        <f t="shared" si="7"/>
        <v>1.5874999999999999</v>
      </c>
      <c r="Q120" s="98">
        <v>6.7400000000000002E-2</v>
      </c>
      <c r="R120" s="56">
        <v>0</v>
      </c>
      <c r="S120" s="57">
        <v>0</v>
      </c>
      <c r="T120" s="57"/>
    </row>
    <row r="121" spans="1:20" ht="13.5" customHeight="1" x14ac:dyDescent="0.2">
      <c r="A121" s="133"/>
      <c r="B121" s="153"/>
      <c r="C121" s="135" t="s">
        <v>32</v>
      </c>
      <c r="D121" s="136">
        <v>48380</v>
      </c>
      <c r="E121" s="138">
        <v>8.2500000000000004E-2</v>
      </c>
      <c r="F121" s="138">
        <v>7.03125E-2</v>
      </c>
      <c r="G121" s="138">
        <v>7.1506700000000006E-2</v>
      </c>
      <c r="H121" s="138">
        <v>7.2499999999999995E-2</v>
      </c>
      <c r="I121" s="138">
        <v>7.03125E-2</v>
      </c>
      <c r="J121" s="139">
        <v>7.1447399999999994E-2</v>
      </c>
      <c r="K121" s="139">
        <v>7.1874999999999994E-2</v>
      </c>
      <c r="L121" s="140"/>
      <c r="M121" s="140">
        <v>2848000</v>
      </c>
      <c r="N121" s="140">
        <v>2800000</v>
      </c>
      <c r="O121" s="140">
        <v>2650000</v>
      </c>
      <c r="P121" s="97">
        <f t="shared" si="7"/>
        <v>1.0747169811320754</v>
      </c>
      <c r="Q121" s="142">
        <v>7.1499999999999994E-2</v>
      </c>
      <c r="R121" s="56">
        <v>1.9887751488813776E-3</v>
      </c>
      <c r="S121" s="57">
        <v>29293528.561597757</v>
      </c>
      <c r="T121" s="62"/>
    </row>
    <row r="122" spans="1:20" ht="13.5" customHeight="1" x14ac:dyDescent="0.2">
      <c r="A122" s="60">
        <v>41086</v>
      </c>
      <c r="B122" s="61">
        <v>41088</v>
      </c>
      <c r="C122" s="18" t="s">
        <v>48</v>
      </c>
      <c r="D122" s="19">
        <v>43146</v>
      </c>
      <c r="E122" s="104">
        <v>4.4499999999999998E-2</v>
      </c>
      <c r="F122" s="27">
        <v>5.8125000000000003E-2</v>
      </c>
      <c r="G122" s="27"/>
      <c r="H122" s="27">
        <v>7.0000000000000007E-2</v>
      </c>
      <c r="I122" s="27"/>
      <c r="J122" s="27">
        <v>5.90935E-2</v>
      </c>
      <c r="K122" s="28"/>
      <c r="L122" s="22">
        <v>1000000</v>
      </c>
      <c r="M122" s="22">
        <v>916000</v>
      </c>
      <c r="N122" s="22"/>
      <c r="O122" s="22">
        <v>655000</v>
      </c>
      <c r="P122" s="69">
        <f t="shared" si="7"/>
        <v>1.3984732824427482</v>
      </c>
      <c r="Q122" s="56"/>
      <c r="R122" s="56"/>
      <c r="S122" s="57">
        <f>O122*J122/$R$10</f>
        <v>39663040.377049267</v>
      </c>
      <c r="T122" s="57"/>
    </row>
    <row r="123" spans="1:20" ht="13.5" customHeight="1" x14ac:dyDescent="0.2">
      <c r="A123" s="16"/>
      <c r="B123" s="17"/>
      <c r="C123" s="18" t="s">
        <v>49</v>
      </c>
      <c r="D123" s="19">
        <v>44576</v>
      </c>
      <c r="E123" s="104">
        <v>5.45E-2</v>
      </c>
      <c r="F123" s="27">
        <v>6.5312499999999996E-2</v>
      </c>
      <c r="G123" s="27"/>
      <c r="H123" s="27">
        <v>7.0000000000000007E-2</v>
      </c>
      <c r="I123" s="27"/>
      <c r="J123" s="28"/>
      <c r="K123" s="28"/>
      <c r="L123" s="22"/>
      <c r="M123" s="22">
        <v>266000</v>
      </c>
      <c r="N123" s="22"/>
      <c r="O123" s="22"/>
      <c r="P123" s="69"/>
      <c r="Q123" s="56"/>
      <c r="R123" s="56"/>
      <c r="S123" s="57"/>
      <c r="T123" s="57"/>
    </row>
    <row r="124" spans="1:20" ht="13.5" customHeight="1" x14ac:dyDescent="0.2">
      <c r="A124" s="16"/>
      <c r="B124" s="17"/>
      <c r="C124" s="18" t="s">
        <v>50</v>
      </c>
      <c r="D124" s="19">
        <v>46402</v>
      </c>
      <c r="E124" s="27">
        <v>0.06</v>
      </c>
      <c r="F124" s="27">
        <v>6.9375000000000006E-2</v>
      </c>
      <c r="G124" s="27"/>
      <c r="H124" s="27">
        <v>7.4999999999999997E-2</v>
      </c>
      <c r="I124" s="27"/>
      <c r="J124" s="28"/>
      <c r="K124" s="28"/>
      <c r="L124" s="22"/>
      <c r="M124" s="22">
        <v>261000</v>
      </c>
      <c r="N124" s="22"/>
      <c r="O124" s="22"/>
      <c r="P124" s="69"/>
      <c r="Q124" s="56"/>
      <c r="R124" s="56" t="e">
        <f>O124*J124/$O$43</f>
        <v>#DIV/0!</v>
      </c>
      <c r="S124" s="57">
        <f>O124*J124/$R$10</f>
        <v>0</v>
      </c>
      <c r="T124" s="57"/>
    </row>
    <row r="125" spans="1:20" ht="13.5" customHeight="1" x14ac:dyDescent="0.2">
      <c r="A125" s="16"/>
      <c r="B125" s="17"/>
      <c r="C125" s="18" t="s">
        <v>53</v>
      </c>
      <c r="D125" s="19">
        <v>50086</v>
      </c>
      <c r="E125" s="27">
        <v>6.0999999999999999E-2</v>
      </c>
      <c r="F125" s="27">
        <v>7.2812500000000002E-2</v>
      </c>
      <c r="G125" s="27"/>
      <c r="H125" s="27">
        <v>7.8750000000000001E-2</v>
      </c>
      <c r="I125" s="27"/>
      <c r="J125" s="28"/>
      <c r="K125" s="28"/>
      <c r="L125" s="22"/>
      <c r="M125" s="22">
        <v>150000</v>
      </c>
      <c r="N125" s="22"/>
      <c r="O125" s="22"/>
      <c r="P125" s="69"/>
      <c r="Q125" s="108"/>
      <c r="R125" s="56" t="e">
        <f>O125*J125/$O$43</f>
        <v>#DIV/0!</v>
      </c>
      <c r="S125" s="57">
        <f>O125*J125/$R$10</f>
        <v>0</v>
      </c>
      <c r="T125" s="57"/>
    </row>
    <row r="126" spans="1:20" ht="13.5" customHeight="1" x14ac:dyDescent="0.2">
      <c r="A126" s="60">
        <v>41088</v>
      </c>
      <c r="B126" s="61">
        <v>41088</v>
      </c>
      <c r="C126" s="18" t="s">
        <v>103</v>
      </c>
      <c r="D126" s="19">
        <v>42183</v>
      </c>
      <c r="E126" s="27">
        <v>5.21E-2</v>
      </c>
      <c r="F126" s="27"/>
      <c r="G126" s="27"/>
      <c r="H126" s="27"/>
      <c r="I126" s="27"/>
      <c r="J126" s="27"/>
      <c r="K126" s="28"/>
      <c r="L126" s="22">
        <v>2000000</v>
      </c>
      <c r="M126" s="22">
        <v>1000000</v>
      </c>
      <c r="N126" s="22">
        <v>1000000</v>
      </c>
      <c r="O126" s="22">
        <v>1000000</v>
      </c>
      <c r="P126" s="69">
        <f t="shared" ref="P126:P131" si="8">M126/O126</f>
        <v>1</v>
      </c>
      <c r="Q126" s="108"/>
      <c r="R126" s="56"/>
      <c r="S126" s="57"/>
      <c r="T126" s="57"/>
    </row>
    <row r="127" spans="1:20" ht="13.5" customHeight="1" x14ac:dyDescent="0.2">
      <c r="A127" s="60"/>
      <c r="B127" s="88"/>
      <c r="C127" s="18" t="s">
        <v>104</v>
      </c>
      <c r="D127" s="19">
        <v>44010</v>
      </c>
      <c r="E127" s="27">
        <v>6.2E-2</v>
      </c>
      <c r="F127" s="27"/>
      <c r="G127" s="27"/>
      <c r="H127" s="27"/>
      <c r="I127" s="27"/>
      <c r="J127" s="27"/>
      <c r="K127" s="165"/>
      <c r="L127" s="22"/>
      <c r="M127" s="22">
        <v>1000000</v>
      </c>
      <c r="N127" s="22">
        <v>1000000</v>
      </c>
      <c r="O127" s="22">
        <v>1000000</v>
      </c>
      <c r="P127" s="69">
        <f t="shared" si="8"/>
        <v>1</v>
      </c>
      <c r="Q127" s="108"/>
      <c r="R127" s="56"/>
      <c r="S127" s="57"/>
      <c r="T127" s="57"/>
    </row>
    <row r="128" spans="1:20" ht="13.5" customHeight="1" x14ac:dyDescent="0.2">
      <c r="A128" s="124">
        <v>41093</v>
      </c>
      <c r="B128" s="124">
        <v>41095</v>
      </c>
      <c r="C128" s="125" t="s">
        <v>88</v>
      </c>
      <c r="D128" s="126">
        <v>41459</v>
      </c>
      <c r="E128" s="127">
        <v>0</v>
      </c>
      <c r="F128" s="128">
        <v>4.4062499999999998E-2</v>
      </c>
      <c r="G128" s="128">
        <v>4.5443299999999999E-2</v>
      </c>
      <c r="H128" s="128">
        <v>4.6249999999999999E-2</v>
      </c>
      <c r="I128" s="128">
        <v>4.4062499999999998E-2</v>
      </c>
      <c r="J128" s="94">
        <v>4.4854900000000003E-2</v>
      </c>
      <c r="K128" s="94">
        <v>4.4999999999999998E-2</v>
      </c>
      <c r="L128" s="130">
        <v>6000000</v>
      </c>
      <c r="M128" s="130">
        <v>792700</v>
      </c>
      <c r="N128" s="130">
        <v>600000</v>
      </c>
      <c r="O128" s="130">
        <v>550000</v>
      </c>
      <c r="P128" s="97">
        <f t="shared" si="8"/>
        <v>1.4412727272727273</v>
      </c>
      <c r="Q128" s="132">
        <v>4.4999999999999998E-2</v>
      </c>
      <c r="R128" s="56"/>
      <c r="S128" s="57">
        <f>O128*J128/$R$10</f>
        <v>25280029.194119763</v>
      </c>
      <c r="T128" s="57"/>
    </row>
    <row r="129" spans="1:20" ht="13.5" customHeight="1" x14ac:dyDescent="0.2">
      <c r="A129" s="100"/>
      <c r="B129" s="99"/>
      <c r="C129" s="91" t="s">
        <v>35</v>
      </c>
      <c r="D129" s="92">
        <v>44696</v>
      </c>
      <c r="E129" s="94">
        <v>7.0000000000000007E-2</v>
      </c>
      <c r="F129" s="94">
        <v>6.0312499999999998E-2</v>
      </c>
      <c r="G129" s="94">
        <v>6.1586299999999997E-2</v>
      </c>
      <c r="H129" s="94">
        <v>6.3750000000000001E-2</v>
      </c>
      <c r="I129" s="94">
        <v>6.0312499999999998E-2</v>
      </c>
      <c r="J129" s="94">
        <v>6.0999699999999997E-2</v>
      </c>
      <c r="K129" s="94">
        <v>6.1249999999999999E-2</v>
      </c>
      <c r="L129" s="96"/>
      <c r="M129" s="96">
        <v>6483000</v>
      </c>
      <c r="N129" s="96">
        <v>3300000</v>
      </c>
      <c r="O129" s="96">
        <v>3300000</v>
      </c>
      <c r="P129" s="97">
        <f t="shared" si="8"/>
        <v>1.9645454545454546</v>
      </c>
      <c r="Q129" s="98">
        <v>6.0999999999999999E-2</v>
      </c>
      <c r="R129" s="56"/>
      <c r="S129" s="57"/>
      <c r="T129" s="57"/>
    </row>
    <row r="130" spans="1:20" ht="13.5" customHeight="1" x14ac:dyDescent="0.2">
      <c r="A130" s="100"/>
      <c r="B130" s="101"/>
      <c r="C130" s="91" t="s">
        <v>43</v>
      </c>
      <c r="D130" s="92">
        <v>46522</v>
      </c>
      <c r="E130" s="94">
        <v>7.0000000000000007E-2</v>
      </c>
      <c r="F130" s="94">
        <v>6.4062499999999994E-2</v>
      </c>
      <c r="G130" s="94">
        <v>6.55921E-2</v>
      </c>
      <c r="H130" s="94">
        <v>6.7187499999999997E-2</v>
      </c>
      <c r="I130" s="94">
        <v>6.4062499999999994E-2</v>
      </c>
      <c r="J130" s="94">
        <v>6.5096000000000001E-2</v>
      </c>
      <c r="K130" s="94">
        <v>6.5312499999999996E-2</v>
      </c>
      <c r="L130" s="96"/>
      <c r="M130" s="96">
        <v>3720000</v>
      </c>
      <c r="N130" s="96">
        <v>1900000</v>
      </c>
      <c r="O130" s="96">
        <v>1900000</v>
      </c>
      <c r="P130" s="97">
        <f t="shared" si="8"/>
        <v>1.9578947368421054</v>
      </c>
      <c r="Q130" s="98">
        <v>6.5100000000000005E-2</v>
      </c>
      <c r="R130" s="56">
        <v>0</v>
      </c>
      <c r="S130" s="57">
        <v>0</v>
      </c>
      <c r="T130" s="57"/>
    </row>
    <row r="131" spans="1:20" ht="13.5" customHeight="1" x14ac:dyDescent="0.2">
      <c r="A131" s="100"/>
      <c r="B131" s="101"/>
      <c r="C131" s="135" t="s">
        <v>32</v>
      </c>
      <c r="D131" s="136">
        <v>48380</v>
      </c>
      <c r="E131" s="138">
        <v>8.2500000000000004E-2</v>
      </c>
      <c r="F131" s="94">
        <v>6.7812499999999998E-2</v>
      </c>
      <c r="G131" s="94">
        <v>6.8797399999999995E-2</v>
      </c>
      <c r="H131" s="94">
        <v>7.0000000000000007E-2</v>
      </c>
      <c r="I131" s="94">
        <v>6.7812499999999998E-2</v>
      </c>
      <c r="J131" s="94">
        <v>6.8197900000000006E-2</v>
      </c>
      <c r="K131" s="94">
        <v>6.8437499999999998E-2</v>
      </c>
      <c r="L131" s="96"/>
      <c r="M131" s="96">
        <v>5491500</v>
      </c>
      <c r="N131" s="96">
        <v>1200000</v>
      </c>
      <c r="O131" s="96">
        <v>1200000</v>
      </c>
      <c r="P131" s="97">
        <f t="shared" si="8"/>
        <v>4.5762499999999999</v>
      </c>
      <c r="Q131" s="98">
        <v>6.8199999999999997E-2</v>
      </c>
      <c r="R131" s="56">
        <v>0</v>
      </c>
      <c r="S131" s="57">
        <v>0</v>
      </c>
      <c r="T131" s="57"/>
    </row>
    <row r="132" spans="1:20" ht="13.5" customHeight="1" x14ac:dyDescent="0.2">
      <c r="A132" s="60">
        <v>41100</v>
      </c>
      <c r="B132" s="61">
        <v>41102</v>
      </c>
      <c r="C132" s="18" t="s">
        <v>91</v>
      </c>
      <c r="D132" s="19"/>
      <c r="E132" s="104"/>
      <c r="F132" s="27">
        <v>0.04</v>
      </c>
      <c r="G132" s="27"/>
      <c r="H132" s="27">
        <v>0.05</v>
      </c>
      <c r="I132" s="27"/>
      <c r="J132" s="27"/>
      <c r="K132" s="28"/>
      <c r="L132" s="22">
        <v>1000000</v>
      </c>
      <c r="M132" s="22">
        <v>181000</v>
      </c>
      <c r="N132" s="22"/>
      <c r="O132" s="22"/>
      <c r="P132" s="69"/>
      <c r="Q132" s="56"/>
      <c r="R132" s="56"/>
      <c r="S132" s="57">
        <f>O132*J132/$R$10</f>
        <v>0</v>
      </c>
      <c r="T132" s="57"/>
    </row>
    <row r="133" spans="1:20" ht="13.5" customHeight="1" x14ac:dyDescent="0.2">
      <c r="A133" s="60"/>
      <c r="B133" s="88"/>
      <c r="C133" s="18" t="s">
        <v>48</v>
      </c>
      <c r="D133" s="19">
        <v>43146</v>
      </c>
      <c r="E133" s="104">
        <v>4.4499999999999998E-2</v>
      </c>
      <c r="F133" s="27">
        <v>5.8749999999999997E-2</v>
      </c>
      <c r="G133" s="27"/>
      <c r="H133" s="27">
        <v>6.7500000000000004E-2</v>
      </c>
      <c r="I133" s="27"/>
      <c r="J133" s="27"/>
      <c r="K133" s="28"/>
      <c r="L133" s="22"/>
      <c r="M133" s="22">
        <v>646000</v>
      </c>
      <c r="N133" s="22"/>
      <c r="O133" s="22"/>
      <c r="P133" s="69"/>
      <c r="Q133" s="56"/>
      <c r="R133" s="56"/>
      <c r="S133" s="57"/>
      <c r="T133" s="57"/>
    </row>
    <row r="134" spans="1:20" ht="13.5" customHeight="1" x14ac:dyDescent="0.2">
      <c r="A134" s="16"/>
      <c r="B134" s="17"/>
      <c r="C134" s="18" t="s">
        <v>49</v>
      </c>
      <c r="D134" s="19">
        <v>44576</v>
      </c>
      <c r="E134" s="104">
        <v>5.45E-2</v>
      </c>
      <c r="F134" s="27">
        <v>6.5000000000000002E-2</v>
      </c>
      <c r="G134" s="27"/>
      <c r="H134" s="27">
        <v>7.0000000000000007E-2</v>
      </c>
      <c r="I134" s="27"/>
      <c r="J134" s="28"/>
      <c r="K134" s="28"/>
      <c r="L134" s="22"/>
      <c r="M134" s="22">
        <v>131000</v>
      </c>
      <c r="N134" s="22"/>
      <c r="O134" s="22"/>
      <c r="P134" s="69"/>
      <c r="Q134" s="56"/>
      <c r="R134" s="56"/>
      <c r="S134" s="57"/>
      <c r="T134" s="57"/>
    </row>
    <row r="135" spans="1:20" ht="13.5" customHeight="1" x14ac:dyDescent="0.2">
      <c r="A135" s="16"/>
      <c r="B135" s="17"/>
      <c r="C135" s="18" t="s">
        <v>50</v>
      </c>
      <c r="D135" s="19">
        <v>46402</v>
      </c>
      <c r="E135" s="27">
        <v>0.06</v>
      </c>
      <c r="F135" s="27">
        <v>6.8750000000000006E-2</v>
      </c>
      <c r="G135" s="27"/>
      <c r="H135" s="27">
        <v>7.4999999999999997E-2</v>
      </c>
      <c r="I135" s="27"/>
      <c r="J135" s="28"/>
      <c r="K135" s="28"/>
      <c r="L135" s="22"/>
      <c r="M135" s="22">
        <v>96000</v>
      </c>
      <c r="N135" s="22"/>
      <c r="O135" s="22"/>
      <c r="P135" s="69"/>
      <c r="Q135" s="56"/>
      <c r="R135" s="56" t="e">
        <f>O135*J135/$O$43</f>
        <v>#DIV/0!</v>
      </c>
      <c r="S135" s="57">
        <f>O135*J135/$R$10</f>
        <v>0</v>
      </c>
      <c r="T135" s="57"/>
    </row>
    <row r="136" spans="1:20" ht="13.5" customHeight="1" x14ac:dyDescent="0.2">
      <c r="A136" s="16"/>
      <c r="B136" s="17"/>
      <c r="C136" s="18" t="s">
        <v>53</v>
      </c>
      <c r="D136" s="19">
        <v>50086</v>
      </c>
      <c r="E136" s="27">
        <v>6.0999999999999999E-2</v>
      </c>
      <c r="F136" s="27">
        <v>6.9687499999999999E-2</v>
      </c>
      <c r="G136" s="27"/>
      <c r="H136" s="27">
        <v>0.08</v>
      </c>
      <c r="I136" s="27"/>
      <c r="J136" s="28"/>
      <c r="K136" s="28"/>
      <c r="L136" s="22"/>
      <c r="M136" s="22">
        <v>163000</v>
      </c>
      <c r="N136" s="22"/>
      <c r="O136" s="22"/>
      <c r="P136" s="69"/>
      <c r="Q136" s="108"/>
      <c r="R136" s="56" t="e">
        <f>O136*J136/$O$43</f>
        <v>#DIV/0!</v>
      </c>
      <c r="S136" s="57">
        <f>O136*J136/$R$10</f>
        <v>0</v>
      </c>
      <c r="T136" s="57"/>
    </row>
    <row r="137" spans="1:20" ht="13.5" customHeight="1" x14ac:dyDescent="0.2">
      <c r="A137" s="124">
        <v>41107</v>
      </c>
      <c r="B137" s="124">
        <v>41109</v>
      </c>
      <c r="C137" s="125" t="s">
        <v>89</v>
      </c>
      <c r="D137" s="126">
        <v>41200</v>
      </c>
      <c r="E137" s="127">
        <v>0</v>
      </c>
      <c r="F137" s="128">
        <v>3.90625E-2</v>
      </c>
      <c r="G137" s="128">
        <v>4.1513099999999997E-2</v>
      </c>
      <c r="H137" s="128">
        <v>4.3749999999999997E-2</v>
      </c>
      <c r="I137" s="128">
        <v>3.90625E-2</v>
      </c>
      <c r="J137" s="129">
        <v>3.9890599999999998E-2</v>
      </c>
      <c r="K137" s="129">
        <v>0.04</v>
      </c>
      <c r="L137" s="130">
        <v>6000000</v>
      </c>
      <c r="M137" s="130">
        <v>4330000</v>
      </c>
      <c r="N137" s="130">
        <v>500000</v>
      </c>
      <c r="O137" s="130">
        <v>500000</v>
      </c>
      <c r="P137" s="97">
        <f t="shared" ref="P137:P148" si="9">M137/O137</f>
        <v>8.66</v>
      </c>
      <c r="Q137" s="132">
        <v>3.9899999999999998E-2</v>
      </c>
      <c r="R137" s="56"/>
      <c r="S137" s="57">
        <f>O137*J137/$R$10</f>
        <v>20438337.284544237</v>
      </c>
      <c r="T137" s="57"/>
    </row>
    <row r="138" spans="1:20" ht="13.5" customHeight="1" x14ac:dyDescent="0.2">
      <c r="A138" s="100"/>
      <c r="B138" s="99"/>
      <c r="C138" s="125" t="s">
        <v>90</v>
      </c>
      <c r="D138" s="126">
        <v>41459</v>
      </c>
      <c r="E138" s="93">
        <v>0</v>
      </c>
      <c r="F138" s="94">
        <v>4.2812500000000003E-2</v>
      </c>
      <c r="G138" s="94">
        <v>4.5234900000000001E-2</v>
      </c>
      <c r="H138" s="94">
        <v>4.7500000000000001E-2</v>
      </c>
      <c r="I138" s="94">
        <v>4.2812500000000003E-2</v>
      </c>
      <c r="J138" s="95">
        <v>4.4053799999999997E-2</v>
      </c>
      <c r="K138" s="95">
        <v>4.4062499999999998E-2</v>
      </c>
      <c r="L138" s="96"/>
      <c r="M138" s="96">
        <v>2654500</v>
      </c>
      <c r="N138" s="96">
        <v>1850000</v>
      </c>
      <c r="O138" s="96">
        <v>1000000</v>
      </c>
      <c r="P138" s="97">
        <f t="shared" si="9"/>
        <v>2.6545000000000001</v>
      </c>
      <c r="Q138" s="98">
        <v>4.4999999999999998E-2</v>
      </c>
      <c r="R138" s="56"/>
      <c r="S138" s="57"/>
      <c r="T138" s="57"/>
    </row>
    <row r="139" spans="1:20" ht="13.5" customHeight="1" x14ac:dyDescent="0.2">
      <c r="A139" s="100"/>
      <c r="B139" s="101"/>
      <c r="C139" s="91" t="s">
        <v>34</v>
      </c>
      <c r="D139" s="92">
        <v>42840</v>
      </c>
      <c r="E139" s="94">
        <v>6.25E-2</v>
      </c>
      <c r="F139" s="94">
        <v>5.3749999999999999E-2</v>
      </c>
      <c r="G139" s="94">
        <v>5.5510999999999998E-2</v>
      </c>
      <c r="H139" s="94">
        <v>0.06</v>
      </c>
      <c r="I139" s="94">
        <v>5.3749999999999999E-2</v>
      </c>
      <c r="J139" s="95">
        <v>5.4689300000000003E-2</v>
      </c>
      <c r="K139" s="95">
        <v>5.5E-2</v>
      </c>
      <c r="L139" s="96"/>
      <c r="M139" s="96">
        <v>2800000</v>
      </c>
      <c r="N139" s="96">
        <v>1250000</v>
      </c>
      <c r="O139" s="96">
        <v>1250000</v>
      </c>
      <c r="P139" s="97">
        <f t="shared" si="9"/>
        <v>2.2400000000000002</v>
      </c>
      <c r="Q139" s="98">
        <v>5.4699999999999999E-2</v>
      </c>
      <c r="R139" s="56">
        <v>0</v>
      </c>
      <c r="S139" s="57">
        <v>0</v>
      </c>
      <c r="T139" s="57"/>
    </row>
    <row r="140" spans="1:20" ht="13.5" customHeight="1" x14ac:dyDescent="0.2">
      <c r="A140" s="100"/>
      <c r="B140" s="101"/>
      <c r="C140" s="91" t="s">
        <v>32</v>
      </c>
      <c r="D140" s="155">
        <v>48380</v>
      </c>
      <c r="E140" s="156">
        <v>8.2500000000000004E-2</v>
      </c>
      <c r="F140" s="94">
        <v>6.5625000000000003E-2</v>
      </c>
      <c r="G140" s="94">
        <v>6.7163299999999995E-2</v>
      </c>
      <c r="H140" s="94">
        <v>6.8750000000000006E-2</v>
      </c>
      <c r="I140" s="94">
        <v>6.5625000000000003E-2</v>
      </c>
      <c r="J140" s="94">
        <v>6.6704799999999995E-2</v>
      </c>
      <c r="K140" s="94">
        <v>6.6875000000000004E-2</v>
      </c>
      <c r="L140" s="96"/>
      <c r="M140" s="96">
        <v>12502200</v>
      </c>
      <c r="N140" s="96">
        <v>6450000</v>
      </c>
      <c r="O140" s="96">
        <v>4500000</v>
      </c>
      <c r="P140" s="97">
        <f t="shared" si="9"/>
        <v>2.7782666666666667</v>
      </c>
      <c r="Q140" s="98">
        <v>6.6799999999999998E-2</v>
      </c>
      <c r="R140" s="56">
        <v>0</v>
      </c>
      <c r="S140" s="57">
        <v>0</v>
      </c>
      <c r="T140" s="57"/>
    </row>
    <row r="141" spans="1:20" ht="13.5" customHeight="1" x14ac:dyDescent="0.2">
      <c r="A141" s="133"/>
      <c r="B141" s="153"/>
      <c r="C141" s="135" t="s">
        <v>47</v>
      </c>
      <c r="D141" s="136">
        <v>51971</v>
      </c>
      <c r="E141" s="138">
        <v>6.3750000000000001E-2</v>
      </c>
      <c r="F141" s="138">
        <v>6.5000000000000002E-2</v>
      </c>
      <c r="G141" s="138">
        <v>6.9052799999999998E-2</v>
      </c>
      <c r="H141" s="138">
        <v>7.2499999999999995E-2</v>
      </c>
      <c r="I141" s="138">
        <v>6.5000000000000002E-2</v>
      </c>
      <c r="J141" s="139">
        <v>6.7993499999999998E-2</v>
      </c>
      <c r="K141" s="139">
        <v>6.8750000000000006E-2</v>
      </c>
      <c r="L141" s="140"/>
      <c r="M141" s="140">
        <v>5403000</v>
      </c>
      <c r="N141" s="140">
        <v>1750000</v>
      </c>
      <c r="O141" s="140">
        <v>1750000</v>
      </c>
      <c r="P141" s="141">
        <f t="shared" si="9"/>
        <v>3.0874285714285716</v>
      </c>
      <c r="Q141" s="142">
        <v>6.8000000000000005E-2</v>
      </c>
      <c r="R141" s="56">
        <v>1.9887751488813776E-3</v>
      </c>
      <c r="S141" s="57">
        <v>29293528.561597757</v>
      </c>
      <c r="T141" s="62"/>
    </row>
    <row r="142" spans="1:20" ht="13.5" customHeight="1" x14ac:dyDescent="0.2">
      <c r="A142" s="60">
        <v>41114</v>
      </c>
      <c r="B142" s="61">
        <v>41116</v>
      </c>
      <c r="C142" s="18" t="s">
        <v>97</v>
      </c>
      <c r="D142" s="19"/>
      <c r="E142" s="104"/>
      <c r="F142" s="27">
        <v>4.1562500000000002E-2</v>
      </c>
      <c r="G142" s="27"/>
      <c r="H142" s="27">
        <v>0.05</v>
      </c>
      <c r="I142" s="27"/>
      <c r="J142" s="27"/>
      <c r="K142" s="28"/>
      <c r="L142" s="22">
        <v>1000000</v>
      </c>
      <c r="M142" s="22">
        <v>341000</v>
      </c>
      <c r="N142" s="22"/>
      <c r="O142" s="22"/>
      <c r="P142" s="69"/>
      <c r="Q142" s="56"/>
      <c r="R142" s="56"/>
      <c r="S142" s="57">
        <f>O142*J142/$R$10</f>
        <v>0</v>
      </c>
      <c r="T142" s="57"/>
    </row>
    <row r="143" spans="1:20" ht="13.5" customHeight="1" x14ac:dyDescent="0.2">
      <c r="A143" s="60"/>
      <c r="B143" s="88"/>
      <c r="C143" s="18" t="s">
        <v>48</v>
      </c>
      <c r="D143" s="19">
        <v>43146</v>
      </c>
      <c r="E143" s="104">
        <v>4.4499999999999998E-2</v>
      </c>
      <c r="F143" s="27">
        <v>5.6250000000000001E-2</v>
      </c>
      <c r="G143" s="27"/>
      <c r="H143" s="27">
        <v>6.2812499999999993E-2</v>
      </c>
      <c r="I143" s="27"/>
      <c r="J143" s="27"/>
      <c r="K143" s="28"/>
      <c r="L143" s="22"/>
      <c r="M143" s="22">
        <v>731000</v>
      </c>
      <c r="N143" s="22"/>
      <c r="O143" s="22"/>
      <c r="P143" s="69"/>
      <c r="Q143" s="56"/>
      <c r="R143" s="56"/>
      <c r="S143" s="57"/>
      <c r="T143" s="57"/>
    </row>
    <row r="144" spans="1:20" ht="13.5" customHeight="1" x14ac:dyDescent="0.2">
      <c r="A144" s="16"/>
      <c r="B144" s="17"/>
      <c r="C144" s="18" t="s">
        <v>49</v>
      </c>
      <c r="D144" s="19">
        <v>44576</v>
      </c>
      <c r="E144" s="104">
        <v>5.45E-2</v>
      </c>
      <c r="F144" s="27">
        <v>6.25E-2</v>
      </c>
      <c r="G144" s="27"/>
      <c r="H144" s="27">
        <v>6.6250000000000003E-2</v>
      </c>
      <c r="I144" s="27"/>
      <c r="J144" s="28"/>
      <c r="K144" s="28"/>
      <c r="L144" s="22"/>
      <c r="M144" s="22">
        <v>291000</v>
      </c>
      <c r="N144" s="22"/>
      <c r="O144" s="22"/>
      <c r="P144" s="69"/>
      <c r="Q144" s="56"/>
      <c r="R144" s="56"/>
      <c r="S144" s="57"/>
      <c r="T144" s="57"/>
    </row>
    <row r="145" spans="1:20" ht="13.5" customHeight="1" x14ac:dyDescent="0.2">
      <c r="A145" s="16"/>
      <c r="B145" s="17"/>
      <c r="C145" s="18" t="s">
        <v>50</v>
      </c>
      <c r="D145" s="19">
        <v>46402</v>
      </c>
      <c r="E145" s="27">
        <v>0.06</v>
      </c>
      <c r="F145" s="27">
        <v>6.6875000000000004E-2</v>
      </c>
      <c r="G145" s="27"/>
      <c r="H145" s="27">
        <v>7.0000000000000007E-2</v>
      </c>
      <c r="I145" s="27"/>
      <c r="J145" s="28"/>
      <c r="K145" s="28"/>
      <c r="L145" s="22"/>
      <c r="M145" s="22">
        <v>106000</v>
      </c>
      <c r="N145" s="22"/>
      <c r="O145" s="22"/>
      <c r="P145" s="69"/>
      <c r="Q145" s="56"/>
      <c r="R145" s="56" t="e">
        <f>O145*J145/$O$43</f>
        <v>#DIV/0!</v>
      </c>
      <c r="S145" s="57">
        <f>O145*J145/$R$10</f>
        <v>0</v>
      </c>
      <c r="T145" s="57"/>
    </row>
    <row r="146" spans="1:20" ht="13.5" customHeight="1" x14ac:dyDescent="0.2">
      <c r="A146" s="16"/>
      <c r="B146" s="17"/>
      <c r="C146" s="18" t="s">
        <v>53</v>
      </c>
      <c r="D146" s="19">
        <v>50086</v>
      </c>
      <c r="E146" s="27">
        <v>6.0999999999999999E-2</v>
      </c>
      <c r="F146" s="27">
        <v>6.6562499999999997E-2</v>
      </c>
      <c r="G146" s="27"/>
      <c r="H146" s="27">
        <v>7.3749999999999996E-2</v>
      </c>
      <c r="I146" s="27"/>
      <c r="J146" s="28"/>
      <c r="K146" s="28"/>
      <c r="L146" s="22"/>
      <c r="M146" s="22">
        <v>530000</v>
      </c>
      <c r="N146" s="22"/>
      <c r="O146" s="22">
        <v>460000</v>
      </c>
      <c r="P146" s="69">
        <f>M146/O146</f>
        <v>1.1521739130434783</v>
      </c>
      <c r="Q146" s="108"/>
      <c r="R146" s="56" t="e">
        <f>O146*J146/$O$43</f>
        <v>#DIV/0!</v>
      </c>
      <c r="S146" s="57">
        <f>O146*J146/$R$10</f>
        <v>0</v>
      </c>
      <c r="T146" s="57"/>
    </row>
    <row r="147" spans="1:20" ht="13.5" customHeight="1" x14ac:dyDescent="0.2">
      <c r="A147" s="124">
        <v>41128</v>
      </c>
      <c r="B147" s="124">
        <v>41130</v>
      </c>
      <c r="C147" s="125" t="s">
        <v>96</v>
      </c>
      <c r="D147" s="126"/>
      <c r="E147" s="94"/>
      <c r="F147" s="128">
        <v>4.6249999999999999E-2</v>
      </c>
      <c r="G147" s="128"/>
      <c r="H147" s="128">
        <v>0.05</v>
      </c>
      <c r="I147" s="128"/>
      <c r="J147" s="94"/>
      <c r="K147" s="94"/>
      <c r="L147" s="130">
        <v>1000000</v>
      </c>
      <c r="M147" s="130">
        <v>336000</v>
      </c>
      <c r="N147" s="130"/>
      <c r="O147" s="130"/>
      <c r="P147" s="97"/>
      <c r="Q147" s="132"/>
      <c r="R147" s="56"/>
      <c r="S147" s="57">
        <f>O147*J147/$R$10</f>
        <v>0</v>
      </c>
      <c r="T147" s="57"/>
    </row>
    <row r="148" spans="1:20" ht="13.5" customHeight="1" x14ac:dyDescent="0.2">
      <c r="A148" s="89"/>
      <c r="B148" s="89"/>
      <c r="C148" s="91" t="s">
        <v>48</v>
      </c>
      <c r="D148" s="92">
        <v>43146</v>
      </c>
      <c r="E148" s="94">
        <v>4.4499999999999998E-2</v>
      </c>
      <c r="F148" s="94">
        <v>5.6562500000000002E-2</v>
      </c>
      <c r="G148" s="94"/>
      <c r="H148" s="94">
        <v>6.25E-2</v>
      </c>
      <c r="I148" s="94">
        <v>5.6562500000000002E-2</v>
      </c>
      <c r="J148" s="94">
        <v>5.6596E-2</v>
      </c>
      <c r="K148" s="94"/>
      <c r="L148" s="96"/>
      <c r="M148" s="96">
        <v>726000</v>
      </c>
      <c r="N148" s="96"/>
      <c r="O148" s="96">
        <v>40000</v>
      </c>
      <c r="P148" s="97">
        <f t="shared" si="9"/>
        <v>18.149999999999999</v>
      </c>
      <c r="Q148" s="98"/>
      <c r="R148" s="56"/>
      <c r="S148" s="57"/>
      <c r="T148" s="57"/>
    </row>
    <row r="149" spans="1:20" ht="13.5" customHeight="1" x14ac:dyDescent="0.2">
      <c r="A149" s="89"/>
      <c r="B149" s="89"/>
      <c r="C149" s="91" t="s">
        <v>49</v>
      </c>
      <c r="D149" s="92">
        <v>44576</v>
      </c>
      <c r="E149" s="94">
        <v>5.45E-2</v>
      </c>
      <c r="F149" s="94">
        <v>6.0937499999999999E-2</v>
      </c>
      <c r="G149" s="94"/>
      <c r="H149" s="94">
        <v>6.5000000000000002E-2</v>
      </c>
      <c r="I149" s="94"/>
      <c r="J149" s="94"/>
      <c r="K149" s="94"/>
      <c r="L149" s="96"/>
      <c r="M149" s="96">
        <v>176000</v>
      </c>
      <c r="N149" s="96"/>
      <c r="O149" s="96"/>
      <c r="P149" s="97"/>
      <c r="Q149" s="98"/>
      <c r="R149" s="56"/>
      <c r="S149" s="57"/>
      <c r="T149" s="57"/>
    </row>
    <row r="150" spans="1:20" ht="13.5" customHeight="1" x14ac:dyDescent="0.2">
      <c r="A150" s="89"/>
      <c r="B150" s="89"/>
      <c r="C150" s="91" t="s">
        <v>50</v>
      </c>
      <c r="D150" s="92">
        <v>46402</v>
      </c>
      <c r="E150" s="94">
        <v>0.06</v>
      </c>
      <c r="F150" s="94">
        <v>6.5937499999999996E-2</v>
      </c>
      <c r="G150" s="94"/>
      <c r="H150" s="94">
        <v>7.0000000000000007E-2</v>
      </c>
      <c r="I150" s="94"/>
      <c r="J150" s="94"/>
      <c r="K150" s="94"/>
      <c r="L150" s="96"/>
      <c r="M150" s="96">
        <v>106000</v>
      </c>
      <c r="N150" s="96"/>
      <c r="O150" s="96"/>
      <c r="P150" s="97"/>
      <c r="Q150" s="98"/>
      <c r="R150" s="56" t="e">
        <f>O150*J150/$O$43</f>
        <v>#DIV/0!</v>
      </c>
      <c r="S150" s="57">
        <f>O150*J150/$R$10</f>
        <v>0</v>
      </c>
      <c r="T150" s="57"/>
    </row>
    <row r="151" spans="1:20" ht="13.5" customHeight="1" x14ac:dyDescent="0.2">
      <c r="A151" s="89"/>
      <c r="B151" s="89"/>
      <c r="C151" s="91" t="s">
        <v>53</v>
      </c>
      <c r="D151" s="92">
        <v>50086</v>
      </c>
      <c r="E151" s="94">
        <v>6.0999999999999999E-2</v>
      </c>
      <c r="F151" s="94">
        <v>6.6562499999999997E-2</v>
      </c>
      <c r="G151" s="94"/>
      <c r="H151" s="94">
        <v>7.3749999999999996E-2</v>
      </c>
      <c r="I151" s="94">
        <v>6.6562499999999997E-2</v>
      </c>
      <c r="J151" s="94">
        <v>6.7161600000000002E-2</v>
      </c>
      <c r="K151" s="94"/>
      <c r="L151" s="96"/>
      <c r="M151" s="96">
        <v>589000</v>
      </c>
      <c r="N151" s="96"/>
      <c r="O151" s="96">
        <v>500000</v>
      </c>
      <c r="P151" s="97">
        <f>M151/O151</f>
        <v>1.1779999999999999</v>
      </c>
      <c r="Q151" s="98"/>
      <c r="R151" s="56" t="e">
        <f>O151*J151/$O$43</f>
        <v>#DIV/0!</v>
      </c>
      <c r="S151" s="57">
        <f>O151*J151/$R$10</f>
        <v>34410899.644769609</v>
      </c>
      <c r="T151" s="57"/>
    </row>
    <row r="152" spans="1:20" s="71" customFormat="1" ht="13.5" customHeight="1" x14ac:dyDescent="0.2">
      <c r="A152" s="76">
        <v>41130</v>
      </c>
      <c r="B152" s="76">
        <v>41134</v>
      </c>
      <c r="C152" s="77" t="s">
        <v>92</v>
      </c>
      <c r="D152" s="78">
        <v>41225</v>
      </c>
      <c r="E152" s="66"/>
      <c r="F152" s="80">
        <v>3.90625E-2</v>
      </c>
      <c r="G152" s="80">
        <v>4.0763199999999999E-2</v>
      </c>
      <c r="H152" s="80">
        <v>4.2187500000000003E-2</v>
      </c>
      <c r="I152" s="80">
        <v>3.90625E-2</v>
      </c>
      <c r="J152" s="66">
        <v>4.04886E-2</v>
      </c>
      <c r="K152" s="66">
        <v>4.1250000000000002E-2</v>
      </c>
      <c r="L152" s="82">
        <v>6000000</v>
      </c>
      <c r="M152" s="82">
        <v>1169000</v>
      </c>
      <c r="N152" s="82">
        <v>850000</v>
      </c>
      <c r="O152" s="82">
        <v>850000</v>
      </c>
      <c r="P152" s="69">
        <f>M152/O152</f>
        <v>1.3752941176470588</v>
      </c>
      <c r="Q152" s="157">
        <v>4.0500000000000001E-2</v>
      </c>
      <c r="R152" s="108"/>
      <c r="S152" s="158">
        <f>O152*J152/$R$10</f>
        <v>35266038.291334204</v>
      </c>
      <c r="T152" s="158"/>
    </row>
    <row r="153" spans="1:20" s="71" customFormat="1" ht="13.5" customHeight="1" x14ac:dyDescent="0.2">
      <c r="A153" s="73"/>
      <c r="B153" s="73"/>
      <c r="C153" s="64" t="s">
        <v>93</v>
      </c>
      <c r="D153" s="65">
        <v>41498</v>
      </c>
      <c r="E153" s="66"/>
      <c r="F153" s="66">
        <v>4.3124999999999997E-2</v>
      </c>
      <c r="G153" s="66">
        <v>4.5221900000000002E-2</v>
      </c>
      <c r="H153" s="66">
        <v>4.6875E-2</v>
      </c>
      <c r="I153" s="66">
        <v>4.3124999999999997E-2</v>
      </c>
      <c r="J153" s="66">
        <v>4.4704199999999999E-2</v>
      </c>
      <c r="K153" s="66">
        <v>4.5312499999999999E-2</v>
      </c>
      <c r="L153" s="68"/>
      <c r="M153" s="68">
        <v>531000</v>
      </c>
      <c r="N153" s="68">
        <v>500000</v>
      </c>
      <c r="O153" s="68">
        <v>450000</v>
      </c>
      <c r="P153" s="69">
        <f>M153/O153</f>
        <v>1.18</v>
      </c>
      <c r="Q153" s="108">
        <v>4.4999999999999998E-2</v>
      </c>
      <c r="R153" s="108"/>
      <c r="S153" s="158"/>
      <c r="T153" s="158"/>
    </row>
    <row r="154" spans="1:20" s="71" customFormat="1" ht="13.5" customHeight="1" x14ac:dyDescent="0.2">
      <c r="A154" s="73"/>
      <c r="B154" s="73"/>
      <c r="C154" s="64" t="s">
        <v>94</v>
      </c>
      <c r="D154" s="65">
        <v>45061</v>
      </c>
      <c r="E154" s="66">
        <v>5.6250000000000001E-2</v>
      </c>
      <c r="F154" s="66">
        <v>5.6250000000000001E-2</v>
      </c>
      <c r="G154" s="66">
        <v>5.8444999999999997E-2</v>
      </c>
      <c r="H154" s="66">
        <v>6.21875E-2</v>
      </c>
      <c r="I154" s="66">
        <v>5.6250000000000001E-2</v>
      </c>
      <c r="J154" s="66">
        <v>5.78474E-2</v>
      </c>
      <c r="K154" s="66">
        <v>5.8125000000000003E-2</v>
      </c>
      <c r="L154" s="68"/>
      <c r="M154" s="68">
        <v>7471300</v>
      </c>
      <c r="N154" s="68">
        <v>4950000</v>
      </c>
      <c r="O154" s="68">
        <v>3100000</v>
      </c>
      <c r="P154" s="69">
        <f>M154/O154</f>
        <v>2.4100967741935482</v>
      </c>
      <c r="Q154" s="108">
        <v>5.8000000000000003E-2</v>
      </c>
      <c r="R154" s="108">
        <v>0</v>
      </c>
      <c r="S154" s="158">
        <v>0</v>
      </c>
      <c r="T154" s="158"/>
    </row>
    <row r="155" spans="1:20" s="71" customFormat="1" ht="13.5" customHeight="1" x14ac:dyDescent="0.2">
      <c r="A155" s="73"/>
      <c r="B155" s="73"/>
      <c r="C155" s="64" t="s">
        <v>95</v>
      </c>
      <c r="D155" s="65">
        <v>46888</v>
      </c>
      <c r="E155" s="66">
        <v>6.1249999999999999E-2</v>
      </c>
      <c r="F155" s="66">
        <v>6.1249999999999999E-2</v>
      </c>
      <c r="G155" s="66">
        <v>6.3324000000000005E-2</v>
      </c>
      <c r="H155" s="66">
        <v>6.5937499999999996E-2</v>
      </c>
      <c r="I155" s="66">
        <v>6.1249999999999999E-2</v>
      </c>
      <c r="J155" s="66">
        <v>6.2920799999999999E-2</v>
      </c>
      <c r="K155" s="66">
        <v>6.3125000000000001E-2</v>
      </c>
      <c r="L155" s="68"/>
      <c r="M155" s="68">
        <v>7838200</v>
      </c>
      <c r="N155" s="68">
        <v>7838200</v>
      </c>
      <c r="O155" s="68">
        <v>4600000</v>
      </c>
      <c r="P155" s="69">
        <f>M155/O155</f>
        <v>1.7039565217391304</v>
      </c>
      <c r="Q155" s="108">
        <v>6.3500000000000001E-2</v>
      </c>
      <c r="R155" s="108">
        <v>0</v>
      </c>
      <c r="S155" s="158">
        <v>0</v>
      </c>
      <c r="T155" s="158"/>
    </row>
    <row r="156" spans="1:20" s="71" customFormat="1" ht="13.5" customHeight="1" x14ac:dyDescent="0.2">
      <c r="A156" s="73"/>
      <c r="B156" s="73"/>
      <c r="C156" s="64" t="s">
        <v>47</v>
      </c>
      <c r="D156" s="65">
        <v>51971</v>
      </c>
      <c r="E156" s="66">
        <v>6.3750000000000001E-2</v>
      </c>
      <c r="F156" s="66">
        <v>6.5000000000000002E-2</v>
      </c>
      <c r="G156" s="66">
        <v>6.6420800000000002E-2</v>
      </c>
      <c r="H156" s="66">
        <v>6.8437499999999998E-2</v>
      </c>
      <c r="I156" s="66"/>
      <c r="J156" s="66"/>
      <c r="K156" s="66"/>
      <c r="L156" s="68"/>
      <c r="M156" s="68">
        <v>3007000</v>
      </c>
      <c r="N156" s="68">
        <v>300000</v>
      </c>
      <c r="O156" s="68"/>
      <c r="P156" s="69"/>
      <c r="Q156" s="108">
        <v>6.5299999999999997E-2</v>
      </c>
      <c r="R156" s="108">
        <v>1.9887751488813776E-3</v>
      </c>
      <c r="S156" s="158">
        <v>29293528.561597757</v>
      </c>
      <c r="T156" s="158"/>
    </row>
    <row r="157" spans="1:20" ht="13.5" customHeight="1" x14ac:dyDescent="0.2">
      <c r="A157" s="124">
        <v>41149</v>
      </c>
      <c r="B157" s="124">
        <v>41151</v>
      </c>
      <c r="C157" s="91" t="s">
        <v>93</v>
      </c>
      <c r="D157" s="92">
        <v>41498</v>
      </c>
      <c r="E157" s="94"/>
      <c r="F157" s="128">
        <v>4.3749999999999997E-2</v>
      </c>
      <c r="G157" s="128">
        <v>4.8259900000000001E-2</v>
      </c>
      <c r="H157" s="128">
        <v>0.05</v>
      </c>
      <c r="I157" s="128">
        <v>4.3749999999999997E-2</v>
      </c>
      <c r="J157" s="94">
        <v>4.5231199999999999E-2</v>
      </c>
      <c r="K157" s="94">
        <v>4.6249999999999999E-2</v>
      </c>
      <c r="L157" s="130">
        <v>6000000</v>
      </c>
      <c r="M157" s="130">
        <v>666300</v>
      </c>
      <c r="N157" s="130">
        <v>666300</v>
      </c>
      <c r="O157" s="130">
        <v>540000</v>
      </c>
      <c r="P157" s="97">
        <f t="shared" ref="P157:P166" si="10">M157/O157</f>
        <v>1.2338888888888888</v>
      </c>
      <c r="Q157" s="132">
        <v>4.9000000000000002E-2</v>
      </c>
      <c r="R157" s="56"/>
      <c r="S157" s="57">
        <f>O157*J157/$R$10</f>
        <v>25028617.345827125</v>
      </c>
      <c r="T157" s="57"/>
    </row>
    <row r="158" spans="1:20" ht="13.5" customHeight="1" x14ac:dyDescent="0.2">
      <c r="A158" s="89"/>
      <c r="B158" s="89"/>
      <c r="C158" s="91" t="s">
        <v>34</v>
      </c>
      <c r="D158" s="92">
        <v>42840</v>
      </c>
      <c r="E158" s="94">
        <v>6.25E-2</v>
      </c>
      <c r="F158" s="94">
        <v>5.5625000000000001E-2</v>
      </c>
      <c r="G158" s="94">
        <v>5.6602699999999999E-2</v>
      </c>
      <c r="H158" s="94">
        <v>0.06</v>
      </c>
      <c r="I158" s="94">
        <v>5.5625000000000001E-2</v>
      </c>
      <c r="J158" s="94">
        <v>5.5915199999999998E-2</v>
      </c>
      <c r="K158" s="94">
        <v>5.6250000000000001E-2</v>
      </c>
      <c r="L158" s="96"/>
      <c r="M158" s="96">
        <v>887000</v>
      </c>
      <c r="N158" s="96">
        <v>600000</v>
      </c>
      <c r="O158" s="96">
        <v>350000</v>
      </c>
      <c r="P158" s="97">
        <f t="shared" si="10"/>
        <v>2.5342857142857143</v>
      </c>
      <c r="Q158" s="98">
        <v>4.65E-2</v>
      </c>
      <c r="R158" s="56"/>
      <c r="S158" s="57"/>
      <c r="T158" s="57"/>
    </row>
    <row r="159" spans="1:20" ht="13.5" customHeight="1" x14ac:dyDescent="0.2">
      <c r="A159" s="89"/>
      <c r="B159" s="89"/>
      <c r="C159" s="91" t="s">
        <v>94</v>
      </c>
      <c r="D159" s="92">
        <v>45061</v>
      </c>
      <c r="E159" s="94">
        <v>5.6250000000000001E-2</v>
      </c>
      <c r="F159" s="94">
        <v>6.1562499999999999E-2</v>
      </c>
      <c r="G159" s="94">
        <v>6.2457400000000003E-2</v>
      </c>
      <c r="H159" s="94">
        <v>6.5312499999999996E-2</v>
      </c>
      <c r="I159" s="94"/>
      <c r="J159" s="94"/>
      <c r="K159" s="94"/>
      <c r="L159" s="96"/>
      <c r="M159" s="96">
        <v>1530000</v>
      </c>
      <c r="N159" s="96"/>
      <c r="O159" s="96"/>
      <c r="P159" s="97"/>
      <c r="Q159" s="98">
        <v>6.1499999999999999E-2</v>
      </c>
      <c r="R159" s="56">
        <v>0</v>
      </c>
      <c r="S159" s="57">
        <v>0</v>
      </c>
      <c r="T159" s="57"/>
    </row>
    <row r="160" spans="1:20" ht="13.5" customHeight="1" x14ac:dyDescent="0.2">
      <c r="A160" s="89"/>
      <c r="B160" s="89"/>
      <c r="C160" s="91" t="s">
        <v>98</v>
      </c>
      <c r="D160" s="92">
        <v>48714</v>
      </c>
      <c r="E160" s="94">
        <v>6.6250000000000003E-2</v>
      </c>
      <c r="F160" s="94">
        <v>6.7812499999999998E-2</v>
      </c>
      <c r="G160" s="94">
        <v>6.9155700000000001E-2</v>
      </c>
      <c r="H160" s="94">
        <v>7.2499999999999995E-2</v>
      </c>
      <c r="I160" s="94">
        <v>6.7812499999999998E-2</v>
      </c>
      <c r="J160" s="94">
        <v>6.8855E-2</v>
      </c>
      <c r="K160" s="94">
        <v>6.9062499999999999E-2</v>
      </c>
      <c r="L160" s="96"/>
      <c r="M160" s="96">
        <v>4284500</v>
      </c>
      <c r="N160" s="96">
        <v>3200000</v>
      </c>
      <c r="O160" s="96">
        <v>2950000</v>
      </c>
      <c r="P160" s="97">
        <f t="shared" si="10"/>
        <v>1.4523728813559322</v>
      </c>
      <c r="Q160" s="98">
        <v>6.8900000000000003E-2</v>
      </c>
      <c r="R160" s="56">
        <v>0</v>
      </c>
      <c r="S160" s="57">
        <v>0</v>
      </c>
      <c r="T160" s="57"/>
    </row>
    <row r="161" spans="1:20" ht="13.5" customHeight="1" x14ac:dyDescent="0.2">
      <c r="A161" s="89"/>
      <c r="B161" s="89"/>
      <c r="C161" s="91" t="s">
        <v>47</v>
      </c>
      <c r="D161" s="92">
        <v>51971</v>
      </c>
      <c r="E161" s="94">
        <v>6.3750000000000001E-2</v>
      </c>
      <c r="F161" s="94">
        <v>6.8437499999999998E-2</v>
      </c>
      <c r="G161" s="94">
        <v>6.9570300000000002E-2</v>
      </c>
      <c r="H161" s="94">
        <v>7.1249999999999994E-2</v>
      </c>
      <c r="I161" s="94"/>
      <c r="J161" s="94"/>
      <c r="K161" s="94"/>
      <c r="L161" s="96"/>
      <c r="M161" s="96">
        <v>1149500</v>
      </c>
      <c r="N161" s="96">
        <v>100000</v>
      </c>
      <c r="O161" s="96"/>
      <c r="P161" s="97"/>
      <c r="Q161" s="98">
        <v>6.8500000000000005E-2</v>
      </c>
      <c r="R161" s="56">
        <v>1.9887751488813776E-3</v>
      </c>
      <c r="S161" s="57">
        <v>29293528.561597757</v>
      </c>
      <c r="T161" s="57"/>
    </row>
    <row r="162" spans="1:20" s="71" customFormat="1" ht="13.5" customHeight="1" x14ac:dyDescent="0.2">
      <c r="A162" s="76">
        <v>41156</v>
      </c>
      <c r="B162" s="76">
        <v>41158</v>
      </c>
      <c r="C162" s="77" t="s">
        <v>102</v>
      </c>
      <c r="D162" s="78"/>
      <c r="E162" s="66"/>
      <c r="F162" s="80">
        <v>4.3749999999999997E-2</v>
      </c>
      <c r="G162" s="80"/>
      <c r="H162" s="80">
        <v>0.05</v>
      </c>
      <c r="I162" s="80"/>
      <c r="J162" s="66"/>
      <c r="K162" s="66"/>
      <c r="L162" s="82">
        <v>1000000</v>
      </c>
      <c r="M162" s="82">
        <v>182000</v>
      </c>
      <c r="N162" s="82"/>
      <c r="O162" s="82"/>
      <c r="P162" s="69"/>
      <c r="Q162" s="157"/>
      <c r="R162" s="108"/>
      <c r="S162" s="158">
        <f>O162*J162/$R$10</f>
        <v>0</v>
      </c>
      <c r="T162" s="158"/>
    </row>
    <row r="163" spans="1:20" s="71" customFormat="1" ht="13.5" customHeight="1" x14ac:dyDescent="0.2">
      <c r="A163" s="73"/>
      <c r="B163" s="73"/>
      <c r="C163" s="64" t="s">
        <v>48</v>
      </c>
      <c r="D163" s="65">
        <v>43146</v>
      </c>
      <c r="E163" s="66">
        <v>4.4499999999999998E-2</v>
      </c>
      <c r="F163" s="66">
        <v>5.7812500000000003E-2</v>
      </c>
      <c r="G163" s="66"/>
      <c r="H163" s="66">
        <v>6.3125000000000001E-2</v>
      </c>
      <c r="I163" s="66">
        <v>5.7812500000000003E-2</v>
      </c>
      <c r="J163" s="66">
        <v>6.0042600000000002E-2</v>
      </c>
      <c r="K163" s="66"/>
      <c r="L163" s="68"/>
      <c r="M163" s="68">
        <v>870000</v>
      </c>
      <c r="N163" s="68"/>
      <c r="O163" s="68">
        <v>660000</v>
      </c>
      <c r="P163" s="69">
        <f t="shared" si="10"/>
        <v>1.3181818181818181</v>
      </c>
      <c r="Q163" s="108"/>
      <c r="R163" s="108"/>
      <c r="S163" s="158"/>
      <c r="T163" s="158"/>
    </row>
    <row r="164" spans="1:20" s="71" customFormat="1" ht="13.5" customHeight="1" x14ac:dyDescent="0.2">
      <c r="A164" s="73"/>
      <c r="B164" s="73"/>
      <c r="C164" s="64" t="s">
        <v>49</v>
      </c>
      <c r="D164" s="65">
        <v>44576</v>
      </c>
      <c r="E164" s="66">
        <v>5.45E-2</v>
      </c>
      <c r="F164" s="66">
        <v>6.0937499999999999E-2</v>
      </c>
      <c r="G164" s="66"/>
      <c r="H164" s="66">
        <v>6.5000000000000002E-2</v>
      </c>
      <c r="I164" s="66">
        <v>6.0937499999999999E-2</v>
      </c>
      <c r="J164" s="66">
        <v>6.3195500000000002E-2</v>
      </c>
      <c r="K164" s="66"/>
      <c r="L164" s="68"/>
      <c r="M164" s="68">
        <v>390000</v>
      </c>
      <c r="N164" s="68"/>
      <c r="O164" s="68">
        <v>193000</v>
      </c>
      <c r="P164" s="69">
        <f t="shared" si="10"/>
        <v>2.0207253886010363</v>
      </c>
      <c r="Q164" s="108"/>
      <c r="R164" s="108"/>
      <c r="S164" s="158"/>
      <c r="T164" s="158"/>
    </row>
    <row r="165" spans="1:20" s="71" customFormat="1" ht="13.5" customHeight="1" x14ac:dyDescent="0.2">
      <c r="A165" s="73"/>
      <c r="B165" s="73"/>
      <c r="C165" s="64" t="s">
        <v>50</v>
      </c>
      <c r="D165" s="65">
        <v>46402</v>
      </c>
      <c r="E165" s="66">
        <v>0.06</v>
      </c>
      <c r="F165" s="66">
        <v>6.6875000000000004E-2</v>
      </c>
      <c r="G165" s="66"/>
      <c r="H165" s="66">
        <v>7.1249999999999994E-2</v>
      </c>
      <c r="I165" s="66"/>
      <c r="J165" s="66"/>
      <c r="K165" s="66"/>
      <c r="L165" s="68"/>
      <c r="M165" s="68">
        <v>139000</v>
      </c>
      <c r="N165" s="68"/>
      <c r="O165" s="68"/>
      <c r="P165" s="69"/>
      <c r="Q165" s="108"/>
      <c r="R165" s="108" t="e">
        <f>O165*J165/$O$43</f>
        <v>#DIV/0!</v>
      </c>
      <c r="S165" s="158">
        <f>O165*J165/$R$10</f>
        <v>0</v>
      </c>
      <c r="T165" s="158"/>
    </row>
    <row r="166" spans="1:20" s="71" customFormat="1" ht="13.5" customHeight="1" x14ac:dyDescent="0.2">
      <c r="A166" s="73"/>
      <c r="B166" s="73"/>
      <c r="C166" s="64" t="s">
        <v>53</v>
      </c>
      <c r="D166" s="65">
        <v>50086</v>
      </c>
      <c r="E166" s="66">
        <v>6.0999999999999999E-2</v>
      </c>
      <c r="F166" s="66">
        <v>6.7500000000000004E-2</v>
      </c>
      <c r="G166" s="66"/>
      <c r="H166" s="66">
        <v>7.3124999999999996E-2</v>
      </c>
      <c r="I166" s="66">
        <v>6.7500000000000004E-2</v>
      </c>
      <c r="J166" s="66">
        <v>6.7808900000000005E-2</v>
      </c>
      <c r="K166" s="66"/>
      <c r="L166" s="68"/>
      <c r="M166" s="68">
        <v>402000</v>
      </c>
      <c r="N166" s="68"/>
      <c r="O166" s="68">
        <v>250000</v>
      </c>
      <c r="P166" s="69">
        <f t="shared" si="10"/>
        <v>1.6080000000000001</v>
      </c>
      <c r="Q166" s="108"/>
      <c r="R166" s="108" t="e">
        <f>O166*J166/$O$43</f>
        <v>#DIV/0!</v>
      </c>
      <c r="S166" s="158">
        <f>O166*J166/$R$10</f>
        <v>17371275.050938465</v>
      </c>
      <c r="T166" s="158"/>
    </row>
    <row r="167" spans="1:20" ht="13.5" customHeight="1" x14ac:dyDescent="0.2">
      <c r="A167" s="124">
        <v>41163</v>
      </c>
      <c r="B167" s="124">
        <v>41165</v>
      </c>
      <c r="C167" s="125" t="s">
        <v>99</v>
      </c>
      <c r="D167" s="126">
        <v>41255</v>
      </c>
      <c r="E167" s="94"/>
      <c r="F167" s="128">
        <v>0.04</v>
      </c>
      <c r="G167" s="128">
        <v>4.1332500000000001E-2</v>
      </c>
      <c r="H167" s="128">
        <v>4.3749999999999997E-2</v>
      </c>
      <c r="I167" s="128">
        <v>0.04</v>
      </c>
      <c r="J167" s="94">
        <v>4.01819E-2</v>
      </c>
      <c r="K167" s="94">
        <v>4.0625000000000001E-2</v>
      </c>
      <c r="L167" s="130">
        <v>5000000</v>
      </c>
      <c r="M167" s="130">
        <v>4487000</v>
      </c>
      <c r="N167" s="130">
        <v>3650000</v>
      </c>
      <c r="O167" s="130">
        <v>1000000</v>
      </c>
      <c r="P167" s="97">
        <f>M167/O167</f>
        <v>4.4870000000000001</v>
      </c>
      <c r="Q167" s="132">
        <v>4.1000000000000002E-2</v>
      </c>
      <c r="R167" s="56"/>
      <c r="S167" s="57">
        <f>O167*J167/$R$10</f>
        <v>41175175.35127715</v>
      </c>
      <c r="T167" s="57"/>
    </row>
    <row r="168" spans="1:20" ht="13.5" customHeight="1" x14ac:dyDescent="0.2">
      <c r="A168" s="89"/>
      <c r="B168" s="89"/>
      <c r="C168" s="91" t="s">
        <v>100</v>
      </c>
      <c r="D168" s="92">
        <v>41164</v>
      </c>
      <c r="E168" s="94"/>
      <c r="F168" s="94">
        <v>4.5624999999999999E-2</v>
      </c>
      <c r="G168" s="94">
        <v>4.7959000000000002E-2</v>
      </c>
      <c r="H168" s="94">
        <v>5.5E-2</v>
      </c>
      <c r="I168" s="94">
        <v>4.5624999999999999E-2</v>
      </c>
      <c r="J168" s="94">
        <v>4.6062499999999999E-2</v>
      </c>
      <c r="K168" s="94">
        <v>4.6249999999999999E-2</v>
      </c>
      <c r="L168" s="96"/>
      <c r="M168" s="96">
        <v>1785000</v>
      </c>
      <c r="N168" s="96">
        <v>1100000</v>
      </c>
      <c r="O168" s="96">
        <v>1000000</v>
      </c>
      <c r="P168" s="97">
        <f>M168/O168</f>
        <v>1.7849999999999999</v>
      </c>
      <c r="Q168" s="98">
        <v>4.65E-2</v>
      </c>
      <c r="R168" s="56"/>
      <c r="S168" s="57"/>
      <c r="T168" s="57"/>
    </row>
    <row r="169" spans="1:20" ht="13.5" customHeight="1" x14ac:dyDescent="0.2">
      <c r="A169" s="89"/>
      <c r="B169" s="89"/>
      <c r="C169" s="91" t="s">
        <v>94</v>
      </c>
      <c r="D169" s="92">
        <v>45061</v>
      </c>
      <c r="E169" s="94">
        <v>5.6250000000000001E-2</v>
      </c>
      <c r="F169" s="94">
        <v>5.9374999999999997E-2</v>
      </c>
      <c r="G169" s="94">
        <v>6.0299499999999999E-2</v>
      </c>
      <c r="H169" s="94">
        <v>6.21875E-2</v>
      </c>
      <c r="I169" s="94">
        <v>5.9374999999999997E-2</v>
      </c>
      <c r="J169" s="94">
        <v>5.9670000000000001E-2</v>
      </c>
      <c r="K169" s="94">
        <v>5.9687499999999998E-2</v>
      </c>
      <c r="L169" s="96"/>
      <c r="M169" s="96">
        <v>2121500</v>
      </c>
      <c r="N169" s="96">
        <v>450000</v>
      </c>
      <c r="O169" s="96">
        <v>400000</v>
      </c>
      <c r="P169" s="97">
        <f>M169/O169</f>
        <v>5.30375</v>
      </c>
      <c r="Q169" s="98">
        <v>5.9700000000000003E-2</v>
      </c>
      <c r="R169" s="56">
        <v>0</v>
      </c>
      <c r="S169" s="57">
        <v>0</v>
      </c>
      <c r="T169" s="57"/>
    </row>
    <row r="170" spans="1:20" ht="13.5" customHeight="1" x14ac:dyDescent="0.2">
      <c r="A170" s="89"/>
      <c r="B170" s="89"/>
      <c r="C170" s="91" t="s">
        <v>95</v>
      </c>
      <c r="D170" s="92">
        <v>46888</v>
      </c>
      <c r="E170" s="94">
        <v>6.1249999999999999E-2</v>
      </c>
      <c r="F170" s="94">
        <v>6.3125000000000001E-2</v>
      </c>
      <c r="G170" s="94">
        <v>6.4128599999999994E-2</v>
      </c>
      <c r="H170" s="94">
        <v>6.7500000000000004E-2</v>
      </c>
      <c r="I170" s="94">
        <v>6.3125000000000001E-2</v>
      </c>
      <c r="J170" s="94">
        <v>6.3644900000000004E-2</v>
      </c>
      <c r="K170" s="94">
        <v>6.3750000000000001E-2</v>
      </c>
      <c r="L170" s="96"/>
      <c r="M170" s="96">
        <v>1750500</v>
      </c>
      <c r="N170" s="96">
        <v>650000</v>
      </c>
      <c r="O170" s="96">
        <v>600000</v>
      </c>
      <c r="P170" s="97">
        <f>M170/O170</f>
        <v>2.9175</v>
      </c>
      <c r="Q170" s="98">
        <v>6.3700000000000007E-2</v>
      </c>
      <c r="R170" s="56">
        <v>0</v>
      </c>
      <c r="S170" s="57">
        <v>0</v>
      </c>
      <c r="T170" s="57"/>
    </row>
    <row r="171" spans="1:20" ht="13.5" customHeight="1" x14ac:dyDescent="0.2">
      <c r="A171" s="89"/>
      <c r="B171" s="89"/>
      <c r="C171" s="91" t="s">
        <v>98</v>
      </c>
      <c r="D171" s="92">
        <v>48714</v>
      </c>
      <c r="E171" s="94">
        <v>6.6250000000000003E-2</v>
      </c>
      <c r="F171" s="94">
        <v>6.5937499999999996E-2</v>
      </c>
      <c r="G171" s="94">
        <v>6.7079E-2</v>
      </c>
      <c r="H171" s="94">
        <v>6.9375000000000006E-2</v>
      </c>
      <c r="I171" s="94">
        <v>6.5937499999999996E-2</v>
      </c>
      <c r="J171" s="94">
        <v>6.6852700000000001E-2</v>
      </c>
      <c r="K171" s="94">
        <v>6.7187499999999997E-2</v>
      </c>
      <c r="L171" s="96"/>
      <c r="M171" s="96">
        <v>3973000</v>
      </c>
      <c r="N171" s="96">
        <v>3450000</v>
      </c>
      <c r="O171" s="96">
        <v>3200000</v>
      </c>
      <c r="P171" s="97"/>
      <c r="Q171" s="98">
        <v>6.6900000000000001E-2</v>
      </c>
      <c r="R171" s="56">
        <v>1.9887751488813776E-3</v>
      </c>
      <c r="S171" s="57">
        <v>29293528.561597757</v>
      </c>
      <c r="T171" s="57"/>
    </row>
    <row r="172" spans="1:20" s="71" customFormat="1" ht="13.5" customHeight="1" x14ac:dyDescent="0.2">
      <c r="A172" s="76">
        <v>41170</v>
      </c>
      <c r="B172" s="76">
        <v>41172</v>
      </c>
      <c r="C172" s="77" t="s">
        <v>101</v>
      </c>
      <c r="D172" s="78"/>
      <c r="E172" s="66"/>
      <c r="F172" s="80">
        <v>5.5E-2</v>
      </c>
      <c r="G172" s="80"/>
      <c r="H172" s="80">
        <v>5.7500000000000002E-2</v>
      </c>
      <c r="I172" s="80"/>
      <c r="J172" s="66"/>
      <c r="K172" s="66"/>
      <c r="L172" s="82">
        <v>1000000</v>
      </c>
      <c r="M172" s="82">
        <v>151000</v>
      </c>
      <c r="N172" s="82"/>
      <c r="O172" s="82"/>
      <c r="P172" s="69"/>
      <c r="Q172" s="157"/>
      <c r="R172" s="108"/>
      <c r="S172" s="158">
        <f>O172*J172/$R$10</f>
        <v>0</v>
      </c>
      <c r="T172" s="158"/>
    </row>
    <row r="173" spans="1:20" s="71" customFormat="1" ht="13.5" customHeight="1" x14ac:dyDescent="0.2">
      <c r="A173" s="73"/>
      <c r="B173" s="73"/>
      <c r="C173" s="64" t="s">
        <v>48</v>
      </c>
      <c r="D173" s="65">
        <v>43146</v>
      </c>
      <c r="E173" s="66">
        <v>4.4499999999999998E-2</v>
      </c>
      <c r="F173" s="66">
        <v>5.9062499999999997E-2</v>
      </c>
      <c r="G173" s="66"/>
      <c r="H173" s="66">
        <v>6.5000000000000002E-2</v>
      </c>
      <c r="I173" s="66"/>
      <c r="J173" s="66"/>
      <c r="K173" s="66"/>
      <c r="L173" s="68"/>
      <c r="M173" s="68">
        <v>741000</v>
      </c>
      <c r="N173" s="68"/>
      <c r="O173" s="68"/>
      <c r="P173" s="69"/>
      <c r="Q173" s="108"/>
      <c r="R173" s="108"/>
      <c r="S173" s="158"/>
      <c r="T173" s="158"/>
    </row>
    <row r="174" spans="1:20" s="71" customFormat="1" ht="13.5" customHeight="1" x14ac:dyDescent="0.2">
      <c r="A174" s="73"/>
      <c r="B174" s="73"/>
      <c r="C174" s="64" t="s">
        <v>49</v>
      </c>
      <c r="D174" s="65">
        <v>44576</v>
      </c>
      <c r="E174" s="66">
        <v>5.45E-2</v>
      </c>
      <c r="F174" s="66">
        <v>6.25E-2</v>
      </c>
      <c r="G174" s="66"/>
      <c r="H174" s="66">
        <v>6.7500000000000004E-2</v>
      </c>
      <c r="I174" s="66"/>
      <c r="J174" s="66"/>
      <c r="K174" s="66"/>
      <c r="L174" s="68"/>
      <c r="M174" s="68">
        <v>241000</v>
      </c>
      <c r="N174" s="68"/>
      <c r="O174" s="68"/>
      <c r="P174" s="69"/>
      <c r="Q174" s="108"/>
      <c r="R174" s="108"/>
      <c r="S174" s="158"/>
      <c r="T174" s="158"/>
    </row>
    <row r="175" spans="1:20" s="71" customFormat="1" ht="13.5" customHeight="1" x14ac:dyDescent="0.2">
      <c r="A175" s="73"/>
      <c r="B175" s="73"/>
      <c r="C175" s="64" t="s">
        <v>50</v>
      </c>
      <c r="D175" s="65">
        <v>46402</v>
      </c>
      <c r="E175" s="66">
        <v>0.06</v>
      </c>
      <c r="F175" s="66">
        <v>6.5312499999999996E-2</v>
      </c>
      <c r="G175" s="66"/>
      <c r="H175" s="66">
        <v>7.0000000000000007E-2</v>
      </c>
      <c r="I175" s="66"/>
      <c r="J175" s="66"/>
      <c r="K175" s="66"/>
      <c r="L175" s="68"/>
      <c r="M175" s="68">
        <v>26000</v>
      </c>
      <c r="N175" s="68"/>
      <c r="O175" s="68"/>
      <c r="P175" s="69"/>
      <c r="Q175" s="108"/>
      <c r="R175" s="108" t="e">
        <f>O175*J175/$O$43</f>
        <v>#DIV/0!</v>
      </c>
      <c r="S175" s="158">
        <f>O175*J175/$R$10</f>
        <v>0</v>
      </c>
      <c r="T175" s="158"/>
    </row>
    <row r="176" spans="1:20" s="71" customFormat="1" ht="13.5" customHeight="1" x14ac:dyDescent="0.2">
      <c r="A176" s="73"/>
      <c r="B176" s="73"/>
      <c r="C176" s="64" t="s">
        <v>53</v>
      </c>
      <c r="D176" s="65">
        <v>50086</v>
      </c>
      <c r="E176" s="66">
        <v>6.0999999999999999E-2</v>
      </c>
      <c r="F176" s="66">
        <v>6.7500000000000004E-2</v>
      </c>
      <c r="G176" s="66"/>
      <c r="H176" s="66">
        <v>7.2499999999999995E-2</v>
      </c>
      <c r="I176" s="66"/>
      <c r="J176" s="66"/>
      <c r="K176" s="66"/>
      <c r="L176" s="68"/>
      <c r="M176" s="68">
        <v>206000</v>
      </c>
      <c r="N176" s="68"/>
      <c r="O176" s="68"/>
      <c r="P176" s="69"/>
      <c r="Q176" s="108"/>
      <c r="R176" s="108" t="e">
        <f>O176*J176/$O$43</f>
        <v>#DIV/0!</v>
      </c>
      <c r="S176" s="158">
        <f>O176*J176/$R$10</f>
        <v>0</v>
      </c>
      <c r="T176" s="158"/>
    </row>
    <row r="177" spans="1:20" ht="13.5" customHeight="1" x14ac:dyDescent="0.2">
      <c r="A177" s="124">
        <v>41177</v>
      </c>
      <c r="B177" s="124">
        <f>A177+2</f>
        <v>41179</v>
      </c>
      <c r="C177" s="125" t="s">
        <v>100</v>
      </c>
      <c r="D177" s="126">
        <v>41529</v>
      </c>
      <c r="E177" s="94"/>
      <c r="F177" s="128">
        <v>4.5937499999999999E-2</v>
      </c>
      <c r="G177" s="128">
        <v>4.7070300000000002E-2</v>
      </c>
      <c r="H177" s="128">
        <v>0.05</v>
      </c>
      <c r="I177" s="128">
        <v>4.5937499999999999E-2</v>
      </c>
      <c r="J177" s="94">
        <v>4.6809400000000001E-2</v>
      </c>
      <c r="K177" s="94">
        <v>4.7500000000000001E-2</v>
      </c>
      <c r="L177" s="130">
        <v>5000000</v>
      </c>
      <c r="M177" s="130">
        <v>1796000</v>
      </c>
      <c r="N177" s="130">
        <v>1150000</v>
      </c>
      <c r="O177" s="130">
        <v>1000000</v>
      </c>
      <c r="P177" s="97">
        <f t="shared" ref="P177:P192" si="11">M177/O177</f>
        <v>1.796</v>
      </c>
      <c r="Q177" s="132">
        <v>4.7E-2</v>
      </c>
      <c r="R177" s="56"/>
      <c r="S177" s="57">
        <f>O177*J177/$R$10</f>
        <v>47966503.651845053</v>
      </c>
      <c r="T177" s="57"/>
    </row>
    <row r="178" spans="1:20" ht="13.5" customHeight="1" x14ac:dyDescent="0.2">
      <c r="A178" s="89"/>
      <c r="B178" s="89"/>
      <c r="C178" s="91" t="s">
        <v>34</v>
      </c>
      <c r="D178" s="92">
        <v>42840</v>
      </c>
      <c r="E178" s="94">
        <v>6.25E-2</v>
      </c>
      <c r="F178" s="94">
        <v>5.2812499999999998E-2</v>
      </c>
      <c r="G178" s="94">
        <v>5.5194300000000002E-2</v>
      </c>
      <c r="H178" s="94">
        <v>5.7500000000000002E-2</v>
      </c>
      <c r="I178" s="94">
        <v>5.2812499999999998E-2</v>
      </c>
      <c r="J178" s="94">
        <v>5.44783E-2</v>
      </c>
      <c r="K178" s="94">
        <v>5.5312500000000001E-2</v>
      </c>
      <c r="L178" s="96"/>
      <c r="M178" s="96">
        <v>1761000</v>
      </c>
      <c r="N178" s="96">
        <v>950000</v>
      </c>
      <c r="O178" s="96">
        <v>950000</v>
      </c>
      <c r="P178" s="97">
        <f t="shared" si="11"/>
        <v>1.8536842105263158</v>
      </c>
      <c r="Q178" s="98">
        <v>5.45E-2</v>
      </c>
      <c r="R178" s="56">
        <v>0</v>
      </c>
      <c r="S178" s="57">
        <v>0</v>
      </c>
      <c r="T178" s="57"/>
    </row>
    <row r="179" spans="1:20" ht="13.5" customHeight="1" x14ac:dyDescent="0.2">
      <c r="A179" s="89"/>
      <c r="B179" s="89"/>
      <c r="C179" s="91" t="s">
        <v>94</v>
      </c>
      <c r="D179" s="92">
        <v>45061</v>
      </c>
      <c r="E179" s="94">
        <v>5.6250000000000001E-2</v>
      </c>
      <c r="F179" s="94">
        <v>5.9062499999999997E-2</v>
      </c>
      <c r="G179" s="94">
        <v>6.0377800000000002E-2</v>
      </c>
      <c r="H179" s="94">
        <v>6.21875E-2</v>
      </c>
      <c r="I179" s="94">
        <v>5.9062499999999997E-2</v>
      </c>
      <c r="J179" s="94">
        <v>5.9893099999999998E-2</v>
      </c>
      <c r="K179" s="94">
        <v>6.0312499999999998E-2</v>
      </c>
      <c r="L179" s="96"/>
      <c r="M179" s="96">
        <v>4200800</v>
      </c>
      <c r="N179" s="96">
        <v>2200000</v>
      </c>
      <c r="O179" s="96">
        <v>2200000</v>
      </c>
      <c r="P179" s="97">
        <f t="shared" si="11"/>
        <v>1.9094545454545455</v>
      </c>
      <c r="Q179" s="98">
        <v>5.9900000000000002E-2</v>
      </c>
      <c r="R179" s="56">
        <v>0</v>
      </c>
      <c r="S179" s="57">
        <v>0</v>
      </c>
      <c r="T179" s="57"/>
    </row>
    <row r="180" spans="1:20" ht="13.5" customHeight="1" x14ac:dyDescent="0.2">
      <c r="A180" s="89"/>
      <c r="B180" s="89"/>
      <c r="C180" s="91" t="s">
        <v>98</v>
      </c>
      <c r="D180" s="92">
        <v>48714</v>
      </c>
      <c r="E180" s="94">
        <v>6.6250000000000003E-2</v>
      </c>
      <c r="F180" s="94">
        <v>6.6875000000000004E-2</v>
      </c>
      <c r="G180" s="94">
        <v>6.7796400000000007E-2</v>
      </c>
      <c r="H180" s="94">
        <v>6.9062499999999999E-2</v>
      </c>
      <c r="I180" s="94">
        <v>6.6875000000000004E-2</v>
      </c>
      <c r="J180" s="94">
        <v>6.7299300000000006E-2</v>
      </c>
      <c r="K180" s="94">
        <v>6.7500000000000004E-2</v>
      </c>
      <c r="L180" s="96"/>
      <c r="M180" s="96">
        <v>4118000</v>
      </c>
      <c r="N180" s="96">
        <v>1150000</v>
      </c>
      <c r="O180" s="96">
        <v>1150000</v>
      </c>
      <c r="P180" s="97">
        <f t="shared" si="11"/>
        <v>3.5808695652173914</v>
      </c>
      <c r="Q180" s="98">
        <v>6.7299999999999999E-2</v>
      </c>
      <c r="R180" s="56">
        <v>1.9887751488813776E-3</v>
      </c>
      <c r="S180" s="57">
        <v>29293528.561597757</v>
      </c>
      <c r="T180" s="57"/>
    </row>
    <row r="181" spans="1:20" s="71" customFormat="1" ht="13.5" customHeight="1" x14ac:dyDescent="0.2">
      <c r="A181" s="76">
        <v>41184</v>
      </c>
      <c r="B181" s="76">
        <v>41186</v>
      </c>
      <c r="C181" s="77" t="s">
        <v>108</v>
      </c>
      <c r="D181" s="78">
        <v>41367</v>
      </c>
      <c r="E181" s="66"/>
      <c r="F181" s="80">
        <v>4.4999999999999998E-2</v>
      </c>
      <c r="G181" s="80"/>
      <c r="H181" s="80">
        <v>5.7500000000000002E-2</v>
      </c>
      <c r="I181" s="80">
        <v>4.4999999999999998E-2</v>
      </c>
      <c r="J181" s="66">
        <v>4.6944399999999997E-2</v>
      </c>
      <c r="K181" s="66"/>
      <c r="L181" s="82">
        <v>1000000</v>
      </c>
      <c r="M181" s="82">
        <v>265000</v>
      </c>
      <c r="N181" s="82"/>
      <c r="O181" s="82">
        <v>90000</v>
      </c>
      <c r="P181" s="69">
        <f t="shared" si="11"/>
        <v>2.9444444444444446</v>
      </c>
      <c r="Q181" s="157"/>
      <c r="R181" s="108"/>
      <c r="S181" s="158">
        <f>O181*J181/$R$10</f>
        <v>4329435.6702506486</v>
      </c>
      <c r="T181" s="158"/>
    </row>
    <row r="182" spans="1:20" s="71" customFormat="1" ht="13.5" customHeight="1" x14ac:dyDescent="0.2">
      <c r="A182" s="73"/>
      <c r="B182" s="73"/>
      <c r="C182" s="64" t="s">
        <v>48</v>
      </c>
      <c r="D182" s="65">
        <v>43146</v>
      </c>
      <c r="E182" s="66">
        <v>4.4499999999999998E-2</v>
      </c>
      <c r="F182" s="66">
        <v>5.9687499999999998E-2</v>
      </c>
      <c r="G182" s="66"/>
      <c r="H182" s="66">
        <v>6.5000000000000002E-2</v>
      </c>
      <c r="I182" s="66">
        <v>5.9687499999999998E-2</v>
      </c>
      <c r="J182" s="66">
        <v>6.0198000000000002E-2</v>
      </c>
      <c r="K182" s="66"/>
      <c r="L182" s="68"/>
      <c r="M182" s="68">
        <v>756000</v>
      </c>
      <c r="N182" s="68"/>
      <c r="O182" s="68">
        <v>460000</v>
      </c>
      <c r="P182" s="69">
        <f t="shared" si="11"/>
        <v>1.6434782608695653</v>
      </c>
      <c r="Q182" s="108"/>
      <c r="R182" s="108"/>
      <c r="S182" s="158"/>
      <c r="T182" s="158"/>
    </row>
    <row r="183" spans="1:20" s="71" customFormat="1" ht="13.5" customHeight="1" x14ac:dyDescent="0.2">
      <c r="A183" s="73"/>
      <c r="B183" s="73"/>
      <c r="C183" s="64" t="s">
        <v>49</v>
      </c>
      <c r="D183" s="65">
        <v>44576</v>
      </c>
      <c r="E183" s="66">
        <v>5.45E-2</v>
      </c>
      <c r="F183" s="66">
        <v>6.25E-2</v>
      </c>
      <c r="G183" s="66"/>
      <c r="H183" s="66">
        <v>6.7500000000000004E-2</v>
      </c>
      <c r="I183" s="66"/>
      <c r="J183" s="66"/>
      <c r="K183" s="66"/>
      <c r="L183" s="68"/>
      <c r="M183" s="68">
        <v>209000</v>
      </c>
      <c r="N183" s="68"/>
      <c r="O183" s="68"/>
      <c r="P183" s="69"/>
      <c r="Q183" s="108"/>
      <c r="R183" s="108"/>
      <c r="S183" s="158"/>
      <c r="T183" s="158"/>
    </row>
    <row r="184" spans="1:20" s="71" customFormat="1" ht="13.5" customHeight="1" x14ac:dyDescent="0.2">
      <c r="A184" s="73"/>
      <c r="B184" s="73"/>
      <c r="C184" s="64" t="s">
        <v>50</v>
      </c>
      <c r="D184" s="65">
        <v>46402</v>
      </c>
      <c r="E184" s="66">
        <v>0.06</v>
      </c>
      <c r="F184" s="66">
        <v>6.6250000000000003E-2</v>
      </c>
      <c r="G184" s="66"/>
      <c r="H184" s="66">
        <v>7.0000000000000007E-2</v>
      </c>
      <c r="I184" s="66"/>
      <c r="J184" s="66"/>
      <c r="K184" s="66"/>
      <c r="L184" s="68"/>
      <c r="M184" s="68">
        <v>68000</v>
      </c>
      <c r="N184" s="68"/>
      <c r="O184" s="68"/>
      <c r="P184" s="69"/>
      <c r="Q184" s="108"/>
      <c r="R184" s="108" t="e">
        <f>O184*J184/$O$43</f>
        <v>#DIV/0!</v>
      </c>
      <c r="S184" s="158">
        <f>O184*J184/$R$10</f>
        <v>0</v>
      </c>
      <c r="T184" s="158"/>
    </row>
    <row r="185" spans="1:20" s="71" customFormat="1" ht="13.5" customHeight="1" x14ac:dyDescent="0.2">
      <c r="A185" s="73"/>
      <c r="B185" s="73"/>
      <c r="C185" s="64" t="s">
        <v>53</v>
      </c>
      <c r="D185" s="65">
        <v>50086</v>
      </c>
      <c r="E185" s="66">
        <v>6.0999999999999999E-2</v>
      </c>
      <c r="F185" s="66">
        <v>6.8125000000000005E-2</v>
      </c>
      <c r="G185" s="66"/>
      <c r="H185" s="66">
        <v>7.2499999999999995E-2</v>
      </c>
      <c r="I185" s="66">
        <v>6.8125000000000005E-2</v>
      </c>
      <c r="J185" s="66">
        <v>6.8398899999999999E-2</v>
      </c>
      <c r="K185" s="66"/>
      <c r="L185" s="68"/>
      <c r="M185" s="68">
        <v>102000</v>
      </c>
      <c r="N185" s="68"/>
      <c r="O185" s="68">
        <v>81000</v>
      </c>
      <c r="P185" s="69">
        <f t="shared" si="11"/>
        <v>1.2592592592592593</v>
      </c>
      <c r="Q185" s="108"/>
      <c r="R185" s="108" t="e">
        <f>O185*J185/$O$43</f>
        <v>#DIV/0!</v>
      </c>
      <c r="S185" s="158">
        <f>O185*J185/$R$10</f>
        <v>5677264.4600701332</v>
      </c>
      <c r="T185" s="158"/>
    </row>
    <row r="186" spans="1:20" ht="13.5" customHeight="1" x14ac:dyDescent="0.2">
      <c r="A186" s="124">
        <v>41186</v>
      </c>
      <c r="B186" s="124">
        <v>41190</v>
      </c>
      <c r="C186" s="125" t="s">
        <v>105</v>
      </c>
      <c r="D186" s="126">
        <v>41281</v>
      </c>
      <c r="E186" s="94"/>
      <c r="F186" s="128">
        <v>3.9687500000000001E-2</v>
      </c>
      <c r="G186" s="128">
        <v>4.1053199999999998E-2</v>
      </c>
      <c r="H186" s="128">
        <v>0.05</v>
      </c>
      <c r="I186" s="128">
        <v>3.9687500000000001E-2</v>
      </c>
      <c r="J186" s="94">
        <v>4.0156299999999999E-2</v>
      </c>
      <c r="K186" s="94">
        <v>4.0312500000000001E-2</v>
      </c>
      <c r="L186" s="130">
        <v>5000000</v>
      </c>
      <c r="M186" s="130">
        <v>3711000</v>
      </c>
      <c r="N186" s="130">
        <v>2350000</v>
      </c>
      <c r="O186" s="130">
        <v>1000000</v>
      </c>
      <c r="P186" s="97">
        <f t="shared" si="11"/>
        <v>3.7109999999999999</v>
      </c>
      <c r="Q186" s="132">
        <v>4.0500000000000001E-2</v>
      </c>
      <c r="R186" s="56"/>
      <c r="S186" s="57">
        <f>O186*J186/$R$10</f>
        <v>41148942.532794379</v>
      </c>
      <c r="T186" s="57"/>
    </row>
    <row r="187" spans="1:20" ht="13.5" customHeight="1" x14ac:dyDescent="0.2">
      <c r="A187" s="89"/>
      <c r="B187" s="89"/>
      <c r="C187" s="91" t="s">
        <v>106</v>
      </c>
      <c r="D187" s="92">
        <v>41554</v>
      </c>
      <c r="E187" s="94"/>
      <c r="F187" s="94">
        <v>4.0937500000000002E-2</v>
      </c>
      <c r="G187" s="94">
        <v>4.6291100000000002E-2</v>
      </c>
      <c r="H187" s="94">
        <v>0.05</v>
      </c>
      <c r="I187" s="94">
        <v>4.0937500000000002E-2</v>
      </c>
      <c r="J187" s="94">
        <v>4.4499999999999998E-2</v>
      </c>
      <c r="K187" s="94">
        <v>4.6875E-2</v>
      </c>
      <c r="L187" s="96"/>
      <c r="M187" s="96">
        <v>2450000</v>
      </c>
      <c r="N187" s="96">
        <v>2450000</v>
      </c>
      <c r="O187" s="96">
        <v>1000000</v>
      </c>
      <c r="P187" s="97">
        <f t="shared" si="11"/>
        <v>2.4500000000000002</v>
      </c>
      <c r="Q187" s="98">
        <v>4.6800000000000001E-2</v>
      </c>
      <c r="R187" s="56"/>
      <c r="S187" s="57"/>
      <c r="T187" s="57"/>
    </row>
    <row r="188" spans="1:20" ht="13.5" customHeight="1" x14ac:dyDescent="0.2">
      <c r="A188" s="89"/>
      <c r="B188" s="89"/>
      <c r="C188" s="91" t="s">
        <v>94</v>
      </c>
      <c r="D188" s="92">
        <v>45061</v>
      </c>
      <c r="E188" s="94">
        <v>5.6250000000000001E-2</v>
      </c>
      <c r="F188" s="94">
        <v>5.8437500000000003E-2</v>
      </c>
      <c r="G188" s="94">
        <v>5.9094099999999997E-2</v>
      </c>
      <c r="H188" s="94">
        <v>6.0312499999999998E-2</v>
      </c>
      <c r="I188" s="94">
        <v>5.8437500000000003E-2</v>
      </c>
      <c r="J188" s="94">
        <v>5.8699099999999997E-2</v>
      </c>
      <c r="K188" s="94">
        <v>5.8749999999999997E-2</v>
      </c>
      <c r="L188" s="96"/>
      <c r="M188" s="96">
        <v>3366000</v>
      </c>
      <c r="N188" s="96">
        <v>3366000</v>
      </c>
      <c r="O188" s="96">
        <v>1600000</v>
      </c>
      <c r="P188" s="97">
        <f t="shared" si="11"/>
        <v>2.1037499999999998</v>
      </c>
      <c r="Q188" s="98">
        <v>5.91E-2</v>
      </c>
      <c r="R188" s="56">
        <v>0</v>
      </c>
      <c r="S188" s="57">
        <v>0</v>
      </c>
      <c r="T188" s="57"/>
    </row>
    <row r="189" spans="1:20" ht="13.5" customHeight="1" x14ac:dyDescent="0.2">
      <c r="A189" s="89"/>
      <c r="B189" s="89"/>
      <c r="C189" s="91" t="s">
        <v>95</v>
      </c>
      <c r="D189" s="92">
        <v>46888</v>
      </c>
      <c r="E189" s="94">
        <v>6.1249999999999999E-2</v>
      </c>
      <c r="F189" s="94">
        <v>6.21875E-2</v>
      </c>
      <c r="G189" s="94">
        <v>6.3306899999999999E-2</v>
      </c>
      <c r="H189" s="94">
        <v>6.5312499999999996E-2</v>
      </c>
      <c r="I189" s="94">
        <v>6.21875E-2</v>
      </c>
      <c r="J189" s="94">
        <v>6.2998399999999996E-2</v>
      </c>
      <c r="K189" s="94">
        <v>6.3125000000000001E-2</v>
      </c>
      <c r="L189" s="96"/>
      <c r="M189" s="96">
        <v>2547500</v>
      </c>
      <c r="N189" s="96">
        <v>1500000</v>
      </c>
      <c r="O189" s="96">
        <v>1500000</v>
      </c>
      <c r="P189" s="97">
        <f t="shared" si="11"/>
        <v>1.6983333333333333</v>
      </c>
      <c r="Q189" s="98">
        <v>6.3E-2</v>
      </c>
      <c r="R189" s="56">
        <v>0</v>
      </c>
      <c r="S189" s="57">
        <v>0</v>
      </c>
      <c r="T189" s="57"/>
    </row>
    <row r="190" spans="1:20" ht="13.5" customHeight="1" x14ac:dyDescent="0.2">
      <c r="A190" s="89"/>
      <c r="B190" s="89"/>
      <c r="C190" s="91" t="s">
        <v>98</v>
      </c>
      <c r="D190" s="92">
        <v>48714</v>
      </c>
      <c r="E190" s="94">
        <v>6.6250000000000003E-2</v>
      </c>
      <c r="F190" s="94">
        <v>6.5312499999999996E-2</v>
      </c>
      <c r="G190" s="94">
        <v>6.6240099999999996E-2</v>
      </c>
      <c r="H190" s="94">
        <v>6.8125000000000005E-2</v>
      </c>
      <c r="I190" s="94">
        <v>6.5312499999999996E-2</v>
      </c>
      <c r="J190" s="94">
        <v>6.5821299999999999E-2</v>
      </c>
      <c r="K190" s="94">
        <v>6.5937499999999996E-2</v>
      </c>
      <c r="L190" s="96"/>
      <c r="M190" s="96">
        <v>6752400</v>
      </c>
      <c r="N190" s="96">
        <v>6752400</v>
      </c>
      <c r="O190" s="96">
        <v>2400000</v>
      </c>
      <c r="P190" s="97">
        <f t="shared" si="11"/>
        <v>2.8134999999999999</v>
      </c>
      <c r="Q190" s="98">
        <v>6.6299999999999998E-2</v>
      </c>
      <c r="R190" s="56">
        <v>1.9887751488813776E-3</v>
      </c>
      <c r="S190" s="57">
        <v>29293528.561597757</v>
      </c>
      <c r="T190" s="57"/>
    </row>
    <row r="191" spans="1:20" s="71" customFormat="1" ht="13.5" customHeight="1" x14ac:dyDescent="0.2">
      <c r="A191" s="76">
        <v>41190</v>
      </c>
      <c r="B191" s="76">
        <f>A191+2</f>
        <v>41192</v>
      </c>
      <c r="C191" s="64" t="s">
        <v>107</v>
      </c>
      <c r="D191" s="65">
        <v>42292</v>
      </c>
      <c r="E191" s="66">
        <v>6.25E-2</v>
      </c>
      <c r="F191" s="80"/>
      <c r="G191" s="80"/>
      <c r="H191" s="80"/>
      <c r="I191" s="80"/>
      <c r="J191" s="66">
        <v>6.25E-2</v>
      </c>
      <c r="K191" s="66"/>
      <c r="L191" s="82">
        <v>12000000</v>
      </c>
      <c r="M191" s="82">
        <v>12765145</v>
      </c>
      <c r="N191" s="82">
        <v>12676745</v>
      </c>
      <c r="O191" s="82">
        <v>12676745</v>
      </c>
      <c r="P191" s="69">
        <f t="shared" si="11"/>
        <v>1.0069733989285103</v>
      </c>
      <c r="Q191" s="157"/>
      <c r="R191" s="108"/>
      <c r="S191" s="158">
        <f>O191*J191/$R$10</f>
        <v>811881715.17901385</v>
      </c>
      <c r="T191" s="158"/>
    </row>
    <row r="192" spans="1:20" ht="13.5" customHeight="1" x14ac:dyDescent="0.2">
      <c r="A192" s="124">
        <v>41198</v>
      </c>
      <c r="B192" s="124">
        <v>41200</v>
      </c>
      <c r="C192" s="125" t="s">
        <v>109</v>
      </c>
      <c r="D192" s="126">
        <v>41381</v>
      </c>
      <c r="E192" s="94"/>
      <c r="F192" s="128">
        <v>4.7500000000000001E-2</v>
      </c>
      <c r="G192" s="128"/>
      <c r="H192" s="128">
        <v>5.5E-2</v>
      </c>
      <c r="I192" s="128">
        <v>4.7500000000000001E-2</v>
      </c>
      <c r="J192" s="94">
        <v>4.7500000000000001E-2</v>
      </c>
      <c r="K192" s="94"/>
      <c r="L192" s="130">
        <v>1000000</v>
      </c>
      <c r="M192" s="130">
        <v>226000</v>
      </c>
      <c r="N192" s="130"/>
      <c r="O192" s="130">
        <v>105000</v>
      </c>
      <c r="P192" s="97">
        <f t="shared" si="11"/>
        <v>2.1523809523809523</v>
      </c>
      <c r="Q192" s="132"/>
      <c r="R192" s="56"/>
      <c r="S192" s="57">
        <f>O192*J192/$R$10</f>
        <v>5110788.3665156402</v>
      </c>
      <c r="T192" s="57"/>
    </row>
    <row r="193" spans="1:20" ht="13.5" customHeight="1" x14ac:dyDescent="0.2">
      <c r="A193" s="89"/>
      <c r="B193" s="89"/>
      <c r="C193" s="91" t="s">
        <v>48</v>
      </c>
      <c r="D193" s="92">
        <v>43146</v>
      </c>
      <c r="E193" s="94">
        <v>4.4499999999999998E-2</v>
      </c>
      <c r="F193" s="94">
        <v>5.9374999999999997E-2</v>
      </c>
      <c r="G193" s="94"/>
      <c r="H193" s="94">
        <v>6.5000000000000002E-2</v>
      </c>
      <c r="I193" s="94"/>
      <c r="J193" s="94"/>
      <c r="K193" s="94"/>
      <c r="L193" s="96"/>
      <c r="M193" s="96">
        <v>1256000</v>
      </c>
      <c r="N193" s="96"/>
      <c r="O193" s="96"/>
      <c r="P193" s="97"/>
      <c r="Q193" s="98"/>
      <c r="R193" s="56"/>
      <c r="S193" s="57"/>
      <c r="T193" s="57"/>
    </row>
    <row r="194" spans="1:20" ht="13.5" customHeight="1" x14ac:dyDescent="0.2">
      <c r="A194" s="89"/>
      <c r="B194" s="89"/>
      <c r="C194" s="91" t="s">
        <v>49</v>
      </c>
      <c r="D194" s="92">
        <v>44576</v>
      </c>
      <c r="E194" s="94">
        <v>5.45E-2</v>
      </c>
      <c r="F194" s="94">
        <v>6.1562499999999999E-2</v>
      </c>
      <c r="G194" s="94"/>
      <c r="H194" s="94">
        <v>7.0000000000000007E-2</v>
      </c>
      <c r="I194" s="94"/>
      <c r="J194" s="94"/>
      <c r="K194" s="94"/>
      <c r="L194" s="96"/>
      <c r="M194" s="96">
        <v>193000</v>
      </c>
      <c r="N194" s="96"/>
      <c r="O194" s="96"/>
      <c r="P194" s="97"/>
      <c r="Q194" s="98"/>
      <c r="R194" s="56"/>
      <c r="S194" s="57"/>
      <c r="T194" s="57"/>
    </row>
    <row r="195" spans="1:20" ht="13.5" customHeight="1" x14ac:dyDescent="0.2">
      <c r="A195" s="89"/>
      <c r="B195" s="89"/>
      <c r="C195" s="91" t="s">
        <v>50</v>
      </c>
      <c r="D195" s="92">
        <v>46402</v>
      </c>
      <c r="E195" s="94">
        <v>0.06</v>
      </c>
      <c r="F195" s="94">
        <v>6.5625000000000003E-2</v>
      </c>
      <c r="G195" s="94"/>
      <c r="H195" s="94">
        <v>7.2499999999999995E-2</v>
      </c>
      <c r="I195" s="94"/>
      <c r="J195" s="94"/>
      <c r="K195" s="94"/>
      <c r="L195" s="96"/>
      <c r="M195" s="96">
        <v>205000</v>
      </c>
      <c r="N195" s="96"/>
      <c r="O195" s="96"/>
      <c r="P195" s="97"/>
      <c r="Q195" s="98"/>
      <c r="R195" s="56" t="e">
        <f>O195*J195/$O$43</f>
        <v>#DIV/0!</v>
      </c>
      <c r="S195" s="57">
        <f>O195*J195/$R$10</f>
        <v>0</v>
      </c>
      <c r="T195" s="57"/>
    </row>
    <row r="196" spans="1:20" ht="13.5" customHeight="1" x14ac:dyDescent="0.2">
      <c r="A196" s="89"/>
      <c r="B196" s="89"/>
      <c r="C196" s="91" t="s">
        <v>53</v>
      </c>
      <c r="D196" s="92">
        <v>50086</v>
      </c>
      <c r="E196" s="94">
        <v>6.0999999999999999E-2</v>
      </c>
      <c r="F196" s="94">
        <v>6.7187499999999997E-2</v>
      </c>
      <c r="G196" s="94"/>
      <c r="H196" s="94">
        <v>7.4999999999999997E-2</v>
      </c>
      <c r="I196" s="94">
        <v>6.7187499999999997E-2</v>
      </c>
      <c r="J196" s="94">
        <v>6.8368899999999996E-2</v>
      </c>
      <c r="K196" s="94"/>
      <c r="L196" s="96"/>
      <c r="M196" s="96">
        <v>261000</v>
      </c>
      <c r="N196" s="96"/>
      <c r="O196" s="96">
        <v>260000</v>
      </c>
      <c r="P196" s="97">
        <f t="shared" ref="P196:P202" si="12">M196/O196</f>
        <v>1.0038461538461538</v>
      </c>
      <c r="Q196" s="98"/>
      <c r="R196" s="56" t="e">
        <f>O196*J196/$O$43</f>
        <v>#DIV/0!</v>
      </c>
      <c r="S196" s="57">
        <f>O196*J196/$R$10</f>
        <v>18215325.208096739</v>
      </c>
      <c r="T196" s="57"/>
    </row>
    <row r="197" spans="1:20" s="71" customFormat="1" ht="13.5" customHeight="1" x14ac:dyDescent="0.2">
      <c r="A197" s="76">
        <v>41205</v>
      </c>
      <c r="B197" s="76">
        <v>41207</v>
      </c>
      <c r="C197" s="64" t="s">
        <v>106</v>
      </c>
      <c r="D197" s="65">
        <v>41554</v>
      </c>
      <c r="E197" s="66"/>
      <c r="F197" s="66">
        <v>4.4687499999999998E-2</v>
      </c>
      <c r="G197" s="66">
        <v>4.72273E-2</v>
      </c>
      <c r="H197" s="66">
        <v>4.8125000000000001E-2</v>
      </c>
      <c r="I197" s="66">
        <v>4.4687499999999998E-2</v>
      </c>
      <c r="J197" s="66">
        <v>4.5656299999999997E-2</v>
      </c>
      <c r="K197" s="66">
        <v>4.6875E-2</v>
      </c>
      <c r="L197" s="68">
        <v>6000000</v>
      </c>
      <c r="M197" s="68">
        <v>1510000</v>
      </c>
      <c r="N197" s="68">
        <v>200000</v>
      </c>
      <c r="O197" s="68">
        <v>200000</v>
      </c>
      <c r="P197" s="69">
        <f t="shared" si="12"/>
        <v>7.55</v>
      </c>
      <c r="Q197" s="108">
        <v>4.5999999999999999E-2</v>
      </c>
      <c r="R197" s="108"/>
      <c r="S197" s="158"/>
      <c r="T197" s="158"/>
    </row>
    <row r="198" spans="1:20" s="71" customFormat="1" ht="13.5" customHeight="1" x14ac:dyDescent="0.2">
      <c r="A198" s="73"/>
      <c r="B198" s="73"/>
      <c r="C198" s="64" t="s">
        <v>110</v>
      </c>
      <c r="D198" s="65">
        <v>45061</v>
      </c>
      <c r="E198" s="66">
        <v>5.6250000000000001E-2</v>
      </c>
      <c r="F198" s="66">
        <v>5.1874999999999998E-2</v>
      </c>
      <c r="G198" s="66">
        <v>5.44795E-2</v>
      </c>
      <c r="H198" s="66">
        <v>5.6562500000000002E-2</v>
      </c>
      <c r="I198" s="66">
        <v>5.1874999999999998E-2</v>
      </c>
      <c r="J198" s="66">
        <v>5.3864299999999997E-2</v>
      </c>
      <c r="K198" s="66">
        <v>5.46875E-2</v>
      </c>
      <c r="L198" s="68"/>
      <c r="M198" s="68">
        <v>4306000</v>
      </c>
      <c r="N198" s="68">
        <v>3100000</v>
      </c>
      <c r="O198" s="68">
        <v>2550000</v>
      </c>
      <c r="P198" s="69">
        <f t="shared" si="12"/>
        <v>1.6886274509803922</v>
      </c>
      <c r="Q198" s="108">
        <v>5.4100000000000002E-2</v>
      </c>
      <c r="R198" s="108">
        <v>0</v>
      </c>
      <c r="S198" s="158">
        <v>0</v>
      </c>
      <c r="T198" s="158"/>
    </row>
    <row r="199" spans="1:20" s="71" customFormat="1" ht="13.5" customHeight="1" x14ac:dyDescent="0.2">
      <c r="A199" s="73"/>
      <c r="B199" s="73"/>
      <c r="C199" s="64" t="s">
        <v>94</v>
      </c>
      <c r="D199" s="65">
        <v>45061</v>
      </c>
      <c r="E199" s="66">
        <v>5.6250000000000001E-2</v>
      </c>
      <c r="F199" s="66">
        <v>5.5625000000000001E-2</v>
      </c>
      <c r="G199" s="66">
        <v>5.7547000000000001E-2</v>
      </c>
      <c r="H199" s="66">
        <v>5.8749999999999997E-2</v>
      </c>
      <c r="I199" s="66">
        <v>5.5625000000000001E-2</v>
      </c>
      <c r="J199" s="66">
        <v>5.7285700000000002E-2</v>
      </c>
      <c r="K199" s="66">
        <v>5.7500000000000002E-2</v>
      </c>
      <c r="L199" s="68"/>
      <c r="M199" s="68">
        <v>4917000</v>
      </c>
      <c r="N199" s="68">
        <v>3300000</v>
      </c>
      <c r="O199" s="68">
        <v>3250000</v>
      </c>
      <c r="P199" s="69">
        <f t="shared" si="12"/>
        <v>1.5129230769230768</v>
      </c>
      <c r="Q199" s="108">
        <v>5.7299999999999997E-2</v>
      </c>
      <c r="R199" s="108">
        <v>0</v>
      </c>
      <c r="S199" s="158">
        <v>0</v>
      </c>
      <c r="T199" s="158"/>
    </row>
    <row r="200" spans="1:20" s="71" customFormat="1" ht="13.5" customHeight="1" x14ac:dyDescent="0.2">
      <c r="A200" s="73"/>
      <c r="B200" s="73"/>
      <c r="C200" s="64" t="s">
        <v>98</v>
      </c>
      <c r="D200" s="65">
        <v>48714</v>
      </c>
      <c r="E200" s="66">
        <v>6.6250000000000003E-2</v>
      </c>
      <c r="F200" s="66">
        <v>6.4687499999999995E-2</v>
      </c>
      <c r="G200" s="66">
        <v>6.5432900000000002E-2</v>
      </c>
      <c r="H200" s="66">
        <v>6.7500000000000004E-2</v>
      </c>
      <c r="I200" s="66">
        <v>6.4687499999999995E-2</v>
      </c>
      <c r="J200" s="66">
        <v>6.5143599999999996E-2</v>
      </c>
      <c r="K200" s="66">
        <v>6.5312499999999996E-2</v>
      </c>
      <c r="L200" s="68"/>
      <c r="M200" s="68">
        <v>7234000</v>
      </c>
      <c r="N200" s="68">
        <v>7234000</v>
      </c>
      <c r="O200" s="68">
        <v>3000000</v>
      </c>
      <c r="P200" s="69">
        <f t="shared" si="12"/>
        <v>2.4113333333333333</v>
      </c>
      <c r="Q200" s="108">
        <v>6.5500000000000003E-2</v>
      </c>
      <c r="R200" s="108">
        <v>1.9887751488813776E-3</v>
      </c>
      <c r="S200" s="158">
        <v>29293528.561597757</v>
      </c>
      <c r="T200" s="158"/>
    </row>
    <row r="201" spans="1:20" ht="13.5" customHeight="1" x14ac:dyDescent="0.2">
      <c r="A201" s="124">
        <v>41212</v>
      </c>
      <c r="B201" s="124">
        <v>41214</v>
      </c>
      <c r="C201" s="125" t="s">
        <v>111</v>
      </c>
      <c r="D201" s="126">
        <v>41394</v>
      </c>
      <c r="E201" s="94"/>
      <c r="F201" s="128">
        <v>4.7812500000000001E-2</v>
      </c>
      <c r="G201" s="128"/>
      <c r="H201" s="128">
        <v>5.5E-2</v>
      </c>
      <c r="I201" s="128"/>
      <c r="J201" s="94"/>
      <c r="K201" s="94"/>
      <c r="L201" s="130">
        <v>1000000</v>
      </c>
      <c r="M201" s="130">
        <v>921000</v>
      </c>
      <c r="N201" s="130"/>
      <c r="O201" s="130"/>
      <c r="P201" s="97"/>
      <c r="Q201" s="132"/>
      <c r="R201" s="56"/>
      <c r="S201" s="57">
        <f>O201*J201/$R$10</f>
        <v>0</v>
      </c>
      <c r="T201" s="57"/>
    </row>
    <row r="202" spans="1:20" ht="13.5" customHeight="1" x14ac:dyDescent="0.2">
      <c r="A202" s="89"/>
      <c r="B202" s="89"/>
      <c r="C202" s="91" t="s">
        <v>48</v>
      </c>
      <c r="D202" s="92">
        <v>43146</v>
      </c>
      <c r="E202" s="94">
        <v>4.4499999999999998E-2</v>
      </c>
      <c r="F202" s="94">
        <v>5.9687499999999998E-2</v>
      </c>
      <c r="G202" s="94"/>
      <c r="H202" s="94">
        <v>6.25E-2</v>
      </c>
      <c r="I202" s="94"/>
      <c r="J202" s="94">
        <v>6.0100000000000001E-2</v>
      </c>
      <c r="K202" s="94"/>
      <c r="L202" s="96"/>
      <c r="M202" s="96">
        <v>1286000</v>
      </c>
      <c r="N202" s="96"/>
      <c r="O202" s="96">
        <v>640000</v>
      </c>
      <c r="P202" s="97">
        <f t="shared" si="12"/>
        <v>2.0093749999999999</v>
      </c>
      <c r="Q202" s="98"/>
      <c r="R202" s="56"/>
      <c r="S202" s="57"/>
      <c r="T202" s="57"/>
    </row>
    <row r="203" spans="1:20" ht="13.5" customHeight="1" x14ac:dyDescent="0.2">
      <c r="A203" s="89"/>
      <c r="B203" s="89"/>
      <c r="C203" s="91" t="s">
        <v>49</v>
      </c>
      <c r="D203" s="92">
        <v>44576</v>
      </c>
      <c r="E203" s="94">
        <v>5.45E-2</v>
      </c>
      <c r="F203" s="94">
        <v>6.1249999999999999E-2</v>
      </c>
      <c r="G203" s="94"/>
      <c r="H203" s="94">
        <v>6.7500000000000004E-2</v>
      </c>
      <c r="I203" s="94"/>
      <c r="J203" s="94"/>
      <c r="K203" s="94"/>
      <c r="L203" s="96"/>
      <c r="M203" s="96">
        <v>63000</v>
      </c>
      <c r="N203" s="96"/>
      <c r="O203" s="96"/>
      <c r="P203" s="97"/>
      <c r="Q203" s="98"/>
      <c r="R203" s="56"/>
      <c r="S203" s="57"/>
      <c r="T203" s="57"/>
    </row>
    <row r="204" spans="1:20" ht="13.5" customHeight="1" x14ac:dyDescent="0.2">
      <c r="A204" s="89"/>
      <c r="B204" s="89"/>
      <c r="C204" s="91" t="s">
        <v>50</v>
      </c>
      <c r="D204" s="92">
        <v>46402</v>
      </c>
      <c r="E204" s="94">
        <v>0.06</v>
      </c>
      <c r="F204" s="94">
        <v>6.5937499999999996E-2</v>
      </c>
      <c r="G204" s="94"/>
      <c r="H204" s="94">
        <v>7.0000000000000007E-2</v>
      </c>
      <c r="I204" s="94"/>
      <c r="J204" s="94"/>
      <c r="K204" s="94"/>
      <c r="L204" s="96"/>
      <c r="M204" s="96">
        <v>66000</v>
      </c>
      <c r="N204" s="96"/>
      <c r="O204" s="96"/>
      <c r="P204" s="97"/>
      <c r="Q204" s="98"/>
      <c r="R204" s="56" t="e">
        <f>O204*J204/$O$43</f>
        <v>#DIV/0!</v>
      </c>
      <c r="S204" s="57">
        <f>O204*J204/$R$10</f>
        <v>0</v>
      </c>
      <c r="T204" s="57"/>
    </row>
    <row r="205" spans="1:20" ht="13.5" customHeight="1" x14ac:dyDescent="0.2">
      <c r="A205" s="89"/>
      <c r="B205" s="89"/>
      <c r="C205" s="91" t="s">
        <v>53</v>
      </c>
      <c r="D205" s="92">
        <v>50086</v>
      </c>
      <c r="E205" s="94">
        <v>6.0999999999999999E-2</v>
      </c>
      <c r="F205" s="94">
        <v>6.7187499999999997E-2</v>
      </c>
      <c r="G205" s="94"/>
      <c r="H205" s="94">
        <v>7.4999999999999997E-2</v>
      </c>
      <c r="I205" s="94"/>
      <c r="J205" s="94">
        <v>6.8098500000000006E-2</v>
      </c>
      <c r="K205" s="94"/>
      <c r="L205" s="96"/>
      <c r="M205" s="96">
        <v>317000</v>
      </c>
      <c r="N205" s="96"/>
      <c r="O205" s="96">
        <v>273000</v>
      </c>
      <c r="P205" s="97">
        <f t="shared" ref="P205:P210" si="13">M205/O205</f>
        <v>1.1611721611721613</v>
      </c>
      <c r="Q205" s="98"/>
      <c r="R205" s="56" t="e">
        <f>O205*J205/$O$43</f>
        <v>#DIV/0!</v>
      </c>
      <c r="S205" s="57">
        <f>O205*J205/$R$10</f>
        <v>19050447.496855363</v>
      </c>
      <c r="T205" s="57"/>
    </row>
    <row r="206" spans="1:20" ht="13.5" customHeight="1" x14ac:dyDescent="0.2">
      <c r="A206" s="76">
        <v>41225</v>
      </c>
      <c r="B206" s="76">
        <v>41227</v>
      </c>
      <c r="C206" s="77" t="s">
        <v>112</v>
      </c>
      <c r="D206" s="78">
        <v>41318</v>
      </c>
      <c r="E206" s="80"/>
      <c r="F206" s="80">
        <v>3.6874999999999998E-2</v>
      </c>
      <c r="G206" s="80">
        <v>3.9922800000000001E-2</v>
      </c>
      <c r="H206" s="80">
        <v>4.2812500000000003E-2</v>
      </c>
      <c r="I206" s="80">
        <v>3.6874999999999998E-2</v>
      </c>
      <c r="J206" s="80">
        <v>3.7249999999999998E-2</v>
      </c>
      <c r="K206" s="80">
        <v>3.7812499999999999E-2</v>
      </c>
      <c r="L206" s="82">
        <v>5000000</v>
      </c>
      <c r="M206" s="82">
        <v>4050000</v>
      </c>
      <c r="N206" s="82">
        <v>1800000</v>
      </c>
      <c r="O206" s="82">
        <v>1000000</v>
      </c>
      <c r="P206" s="84">
        <f t="shared" si="13"/>
        <v>4.05</v>
      </c>
      <c r="Q206" s="157">
        <v>3.7999999999999999E-2</v>
      </c>
      <c r="R206" s="56"/>
      <c r="S206" s="57">
        <f>O206*J206/$R$10</f>
        <v>38170800.331369944</v>
      </c>
      <c r="T206" s="57"/>
    </row>
    <row r="207" spans="1:20" ht="13.5" customHeight="1" x14ac:dyDescent="0.2">
      <c r="A207" s="73"/>
      <c r="B207" s="73"/>
      <c r="C207" s="77" t="s">
        <v>113</v>
      </c>
      <c r="D207" s="65">
        <v>41591</v>
      </c>
      <c r="E207" s="66"/>
      <c r="F207" s="66">
        <v>4.5312499999999999E-2</v>
      </c>
      <c r="G207" s="66">
        <v>4.6971600000000002E-2</v>
      </c>
      <c r="H207" s="66">
        <v>0.05</v>
      </c>
      <c r="I207" s="66">
        <v>4.5312499999999999E-2</v>
      </c>
      <c r="J207" s="66">
        <v>4.6112500000000001E-2</v>
      </c>
      <c r="K207" s="66">
        <v>4.65625E-2</v>
      </c>
      <c r="L207" s="68"/>
      <c r="M207" s="68">
        <v>2561000</v>
      </c>
      <c r="N207" s="68">
        <v>1400000</v>
      </c>
      <c r="O207" s="68">
        <v>1000000</v>
      </c>
      <c r="P207" s="69">
        <f t="shared" si="13"/>
        <v>2.5609999999999999</v>
      </c>
      <c r="Q207" s="108">
        <v>4.65E-2</v>
      </c>
      <c r="R207" s="56"/>
      <c r="S207" s="57"/>
      <c r="T207" s="57"/>
    </row>
    <row r="208" spans="1:20" ht="13.5" customHeight="1" x14ac:dyDescent="0.2">
      <c r="A208" s="73"/>
      <c r="B208" s="73"/>
      <c r="C208" s="64" t="s">
        <v>110</v>
      </c>
      <c r="D208" s="65">
        <v>43235</v>
      </c>
      <c r="E208" s="66">
        <v>5.2499999999999998E-2</v>
      </c>
      <c r="F208" s="66">
        <v>5.0625000000000003E-2</v>
      </c>
      <c r="G208" s="66">
        <v>5.2170300000000003E-2</v>
      </c>
      <c r="H208" s="66">
        <v>5.4375E-2</v>
      </c>
      <c r="I208" s="66">
        <v>5.0625000000000003E-2</v>
      </c>
      <c r="J208" s="66">
        <v>5.16205E-2</v>
      </c>
      <c r="K208" s="66">
        <v>5.1874999999999998E-2</v>
      </c>
      <c r="L208" s="68"/>
      <c r="M208" s="68">
        <v>5177000</v>
      </c>
      <c r="N208" s="68">
        <v>4600000</v>
      </c>
      <c r="O208" s="68">
        <v>2500000</v>
      </c>
      <c r="P208" s="69">
        <f t="shared" si="13"/>
        <v>2.0708000000000002</v>
      </c>
      <c r="Q208" s="108">
        <v>5.1999999999999998E-2</v>
      </c>
      <c r="R208" s="56">
        <v>0</v>
      </c>
      <c r="S208" s="57">
        <v>0</v>
      </c>
      <c r="T208" s="57"/>
    </row>
    <row r="209" spans="1:20" ht="13.5" customHeight="1" x14ac:dyDescent="0.2">
      <c r="A209" s="73"/>
      <c r="B209" s="73"/>
      <c r="C209" s="64" t="s">
        <v>95</v>
      </c>
      <c r="D209" s="65">
        <v>46888</v>
      </c>
      <c r="E209" s="66">
        <v>6.1249999999999999E-2</v>
      </c>
      <c r="F209" s="66">
        <v>5.9687499999999998E-2</v>
      </c>
      <c r="G209" s="66">
        <v>6.0501899999999997E-2</v>
      </c>
      <c r="H209" s="66">
        <v>6.3750000000000001E-2</v>
      </c>
      <c r="I209" s="66">
        <v>5.9687499999999998E-2</v>
      </c>
      <c r="J209" s="66">
        <v>5.9989399999999998E-2</v>
      </c>
      <c r="K209" s="66">
        <v>0.06</v>
      </c>
      <c r="L209" s="68"/>
      <c r="M209" s="68">
        <v>9340000</v>
      </c>
      <c r="N209" s="68">
        <v>9300000</v>
      </c>
      <c r="O209" s="68">
        <v>1850000</v>
      </c>
      <c r="P209" s="69">
        <f t="shared" si="13"/>
        <v>5.0486486486486486</v>
      </c>
      <c r="Q209" s="108">
        <v>6.0499999999999998E-2</v>
      </c>
      <c r="R209" s="56">
        <v>0</v>
      </c>
      <c r="S209" s="57">
        <v>0</v>
      </c>
      <c r="T209" s="57"/>
    </row>
    <row r="210" spans="1:20" ht="13.5" customHeight="1" x14ac:dyDescent="0.2">
      <c r="A210" s="164"/>
      <c r="B210" s="164"/>
      <c r="C210" s="159" t="s">
        <v>98</v>
      </c>
      <c r="D210" s="160">
        <v>48714</v>
      </c>
      <c r="E210" s="161">
        <v>6.6250000000000003E-2</v>
      </c>
      <c r="F210" s="161">
        <v>6.2812499999999993E-2</v>
      </c>
      <c r="G210" s="161">
        <v>6.3654799999999997E-2</v>
      </c>
      <c r="H210" s="161">
        <v>6.4375000000000002E-2</v>
      </c>
      <c r="I210" s="161">
        <v>6.2812499999999993E-2</v>
      </c>
      <c r="J210" s="161">
        <v>6.3262200000000005E-2</v>
      </c>
      <c r="K210" s="161">
        <v>6.3437499999999994E-2</v>
      </c>
      <c r="L210" s="162"/>
      <c r="M210" s="162">
        <v>7812000</v>
      </c>
      <c r="N210" s="162">
        <v>7150000</v>
      </c>
      <c r="O210" s="162">
        <v>1150000</v>
      </c>
      <c r="P210" s="69">
        <f t="shared" si="13"/>
        <v>6.79304347826087</v>
      </c>
      <c r="Q210" s="163">
        <v>6.3600000000000004E-2</v>
      </c>
      <c r="R210" s="56">
        <v>1.9887751488813776E-3</v>
      </c>
      <c r="S210" s="57">
        <v>29293528.561597757</v>
      </c>
      <c r="T210" s="57"/>
    </row>
    <row r="211" spans="1:20" ht="13.5" customHeight="1" x14ac:dyDescent="0.2">
      <c r="A211" s="124">
        <v>41219</v>
      </c>
      <c r="B211" s="124">
        <v>41235</v>
      </c>
      <c r="C211" s="91" t="s">
        <v>114</v>
      </c>
      <c r="D211" s="92">
        <v>44887</v>
      </c>
      <c r="E211" s="94">
        <v>1.1299999999999999E-2</v>
      </c>
      <c r="F211" s="94"/>
      <c r="G211" s="94"/>
      <c r="H211" s="94"/>
      <c r="I211" s="94"/>
      <c r="J211" s="94"/>
      <c r="K211" s="94"/>
      <c r="L211" s="96">
        <v>7000000</v>
      </c>
      <c r="M211" s="166" t="s">
        <v>115</v>
      </c>
      <c r="N211" s="166" t="s">
        <v>115</v>
      </c>
      <c r="O211" s="166" t="s">
        <v>115</v>
      </c>
      <c r="P211" s="97"/>
      <c r="Q211" s="98">
        <v>4.5999999999999999E-2</v>
      </c>
      <c r="R211" s="56"/>
      <c r="S211" s="57"/>
      <c r="T211" s="57">
        <v>60000</v>
      </c>
    </row>
    <row r="212" spans="1:20" ht="13.5" customHeight="1" x14ac:dyDescent="0.2">
      <c r="A212" s="89"/>
      <c r="B212" s="99"/>
      <c r="C212" s="91"/>
      <c r="D212" s="92"/>
      <c r="E212" s="94"/>
      <c r="F212" s="94"/>
      <c r="G212" s="94"/>
      <c r="H212" s="94"/>
      <c r="I212" s="94"/>
      <c r="J212" s="94"/>
      <c r="K212" s="94"/>
      <c r="L212" s="96"/>
      <c r="M212" s="96">
        <f>$T$211*$T$212</f>
        <v>7012308</v>
      </c>
      <c r="N212" s="96">
        <f>$T$211*$T$212</f>
        <v>7012308</v>
      </c>
      <c r="O212" s="96">
        <f>$T$211*$T$212</f>
        <v>7012308</v>
      </c>
      <c r="P212" s="97"/>
      <c r="Q212" s="98"/>
      <c r="R212" s="56"/>
      <c r="S212" s="57"/>
      <c r="T212" s="57">
        <v>116.87179999999999</v>
      </c>
    </row>
    <row r="213" spans="1:20" s="71" customFormat="1" ht="13.5" customHeight="1" x14ac:dyDescent="0.2">
      <c r="A213" s="76">
        <v>41227</v>
      </c>
      <c r="B213" s="76">
        <v>41234</v>
      </c>
      <c r="C213" s="64" t="s">
        <v>116</v>
      </c>
      <c r="D213" s="65">
        <v>44886</v>
      </c>
      <c r="E213" s="66">
        <v>3.3000000000000002E-2</v>
      </c>
      <c r="F213" s="66"/>
      <c r="G213" s="66"/>
      <c r="H213" s="66"/>
      <c r="I213" s="66"/>
      <c r="J213" s="66"/>
      <c r="K213" s="66"/>
      <c r="L213" s="68">
        <v>9000000</v>
      </c>
      <c r="M213" s="152" t="s">
        <v>117</v>
      </c>
      <c r="N213" s="152" t="s">
        <v>117</v>
      </c>
      <c r="O213" s="152" t="s">
        <v>117</v>
      </c>
      <c r="P213" s="69"/>
      <c r="Q213" s="108">
        <v>4.5999999999999999E-2</v>
      </c>
      <c r="R213" s="108"/>
      <c r="S213" s="158"/>
      <c r="T213" s="158">
        <v>1000</v>
      </c>
    </row>
    <row r="214" spans="1:20" s="71" customFormat="1" ht="13.5" customHeight="1" x14ac:dyDescent="0.2">
      <c r="A214" s="73"/>
      <c r="B214" s="110"/>
      <c r="C214" s="64"/>
      <c r="D214" s="65"/>
      <c r="E214" s="66"/>
      <c r="F214" s="66"/>
      <c r="G214" s="66"/>
      <c r="H214" s="66"/>
      <c r="I214" s="66"/>
      <c r="J214" s="66"/>
      <c r="K214" s="66"/>
      <c r="L214" s="68"/>
      <c r="M214" s="68">
        <f>$T$213*$T$214</f>
        <v>9639000</v>
      </c>
      <c r="N214" s="68">
        <f>$T$213*$T$214</f>
        <v>9639000</v>
      </c>
      <c r="O214" s="68">
        <f>$T$213*$T$214</f>
        <v>9639000</v>
      </c>
      <c r="P214" s="69"/>
      <c r="Q214" s="108"/>
      <c r="R214" s="108"/>
      <c r="S214" s="158"/>
      <c r="T214" s="158">
        <v>9639</v>
      </c>
    </row>
    <row r="215" spans="1:20" ht="13.5" customHeight="1" x14ac:dyDescent="0.2">
      <c r="A215" s="124">
        <v>41246</v>
      </c>
      <c r="B215" s="124">
        <v>41248</v>
      </c>
      <c r="C215" s="91" t="s">
        <v>118</v>
      </c>
      <c r="D215" s="92">
        <v>41337</v>
      </c>
      <c r="E215" s="94"/>
      <c r="F215" s="94">
        <v>1.90625E-2</v>
      </c>
      <c r="G215" s="94">
        <v>3.3067300000000001E-2</v>
      </c>
      <c r="H215" s="94">
        <v>0.05</v>
      </c>
      <c r="I215" s="94">
        <v>1.90625E-2</v>
      </c>
      <c r="J215" s="94">
        <v>1.9508899999999999E-2</v>
      </c>
      <c r="K215" s="94">
        <v>0.02</v>
      </c>
      <c r="L215" s="96">
        <v>1000000</v>
      </c>
      <c r="M215" s="166">
        <v>5236000</v>
      </c>
      <c r="N215" s="166">
        <v>5236000</v>
      </c>
      <c r="O215" s="166">
        <v>700000</v>
      </c>
      <c r="P215" s="97">
        <f>M215/O215</f>
        <v>7.48</v>
      </c>
      <c r="Q215" s="98">
        <v>3.5000000000000003E-2</v>
      </c>
      <c r="R215" s="56"/>
      <c r="S215" s="57">
        <f>O215*J215/$R$10</f>
        <v>13993804.794879572</v>
      </c>
      <c r="T215" s="57"/>
    </row>
    <row r="216" spans="1:20" ht="13.5" customHeight="1" x14ac:dyDescent="0.2">
      <c r="A216" s="89"/>
      <c r="B216" s="99"/>
      <c r="C216" s="91" t="s">
        <v>119</v>
      </c>
      <c r="D216" s="92">
        <v>41612</v>
      </c>
      <c r="E216" s="94"/>
      <c r="F216" s="94">
        <v>4.2187500000000003E-2</v>
      </c>
      <c r="G216" s="94">
        <v>4.54952E-2</v>
      </c>
      <c r="H216" s="94">
        <v>7.0000000000000007E-2</v>
      </c>
      <c r="I216" s="94">
        <v>4.2187500000000003E-2</v>
      </c>
      <c r="J216" s="94">
        <v>4.2187500000000003E-2</v>
      </c>
      <c r="K216" s="94">
        <v>4.2187500000000003E-2</v>
      </c>
      <c r="L216" s="96"/>
      <c r="M216" s="96">
        <v>3917000</v>
      </c>
      <c r="N216" s="96">
        <v>1300000</v>
      </c>
      <c r="O216" s="96">
        <v>500000</v>
      </c>
      <c r="P216" s="97">
        <f>M216/O216</f>
        <v>7.8339999999999996</v>
      </c>
      <c r="Q216" s="98">
        <v>4.41E-2</v>
      </c>
      <c r="R216" s="56"/>
      <c r="S216" s="57"/>
      <c r="T216" s="57"/>
    </row>
    <row r="217" spans="1:20" ht="13.5" customHeight="1" x14ac:dyDescent="0.2">
      <c r="A217" s="30" t="s">
        <v>17</v>
      </c>
      <c r="B217" s="31"/>
      <c r="C217" s="32"/>
      <c r="D217" s="33" t="s">
        <v>18</v>
      </c>
      <c r="E217" s="34"/>
      <c r="F217" s="34"/>
      <c r="G217" s="34"/>
      <c r="H217" s="34"/>
      <c r="I217" s="34"/>
      <c r="J217" s="35"/>
      <c r="K217" s="35"/>
      <c r="L217" s="36">
        <f>SUM(L6:L216)</f>
        <v>241130000</v>
      </c>
      <c r="M217" s="36">
        <f>SUM(M6:M216)</f>
        <v>650421058</v>
      </c>
      <c r="N217" s="36">
        <f>SUM(N6:N216)</f>
        <v>342523758</v>
      </c>
      <c r="O217" s="36">
        <f>SUM(O6:O216)</f>
        <v>268547858</v>
      </c>
      <c r="P217" s="37">
        <f>M217/O217</f>
        <v>2.4219930959196105</v>
      </c>
      <c r="Q217" s="38"/>
      <c r="R217" s="87">
        <f>SUM(R6:R12)</f>
        <v>1.6493557546826533E-3</v>
      </c>
    </row>
    <row r="218" spans="1:20" x14ac:dyDescent="0.2">
      <c r="M218" s="39">
        <f>M217</f>
        <v>650421058</v>
      </c>
      <c r="N218" s="39">
        <f>N217</f>
        <v>342523758</v>
      </c>
      <c r="O218" s="39">
        <f>O217</f>
        <v>268547858</v>
      </c>
      <c r="R218" s="58"/>
    </row>
    <row r="219" spans="1:20" x14ac:dyDescent="0.2">
      <c r="A219" s="1" t="s">
        <v>31</v>
      </c>
      <c r="R219" s="39"/>
    </row>
    <row r="220" spans="1:20" x14ac:dyDescent="0.2">
      <c r="A220" s="1"/>
      <c r="M220" s="39"/>
      <c r="N220" s="39"/>
      <c r="O220" s="39"/>
      <c r="Q220" s="36"/>
    </row>
    <row r="221" spans="1:20" ht="27" customHeight="1" x14ac:dyDescent="0.2">
      <c r="A221" s="59"/>
      <c r="E221" s="39"/>
      <c r="F221" s="39"/>
      <c r="G221" s="39"/>
      <c r="H221" s="39"/>
      <c r="I221" s="39"/>
      <c r="J221" s="40"/>
      <c r="K221" s="40"/>
      <c r="L221" s="41" t="s">
        <v>19</v>
      </c>
      <c r="M221" s="41" t="s">
        <v>12</v>
      </c>
      <c r="N221" s="41" t="s">
        <v>13</v>
      </c>
      <c r="O221" s="41" t="s">
        <v>14</v>
      </c>
      <c r="Q221" s="36"/>
    </row>
    <row r="222" spans="1:20" x14ac:dyDescent="0.2">
      <c r="E222" s="39"/>
      <c r="F222" s="39"/>
      <c r="G222" s="39"/>
      <c r="H222" s="39"/>
      <c r="I222" s="39"/>
      <c r="L222" s="47" t="s">
        <v>20</v>
      </c>
      <c r="M222" s="42">
        <f>SUM(M8:M10,M15:M17,M24:M26,M34:M36,M43:M45,M54:M56,M65:M67,M75:M77,M89:M91,M100:M102,M109:M111,M119:M121,M129:M131,M139:M141,M154:M156,M158:M161,M169:M171,M178:M180,M188:M190,M198:M200,M208:M210)</f>
        <v>298268400</v>
      </c>
      <c r="N222" s="42">
        <f>SUM(N8:N10,N15:N17,N24:N26,N34:N36,N43:N45,N54:N56,N65:N67,N75:N77,N89:N91,N100:N102,N109:N111,N119:N121,N129:N131,N139:N141,N154:N156,N158:N161,N169:N171,N178:N180,N188:N190,N198:N200,N208:N210)</f>
        <v>170290600</v>
      </c>
      <c r="O222" s="42">
        <f>SUM(O8:O10,O15:O17,O24:O26,O34:O36,O43:O45,O54:O56,O65:O67,O75:O77,O89:O91,O100:O102,O109:O111,O119:O121,O129:O131,O139:O141,O154:O156,O158:O161,O169:O171,O178:O180,O188:O190,O198:O200,O208:O210)</f>
        <v>122245000</v>
      </c>
      <c r="P222" s="43"/>
      <c r="Q222" s="102"/>
      <c r="R222" s="40"/>
    </row>
    <row r="223" spans="1:20" x14ac:dyDescent="0.2">
      <c r="B223" s="39"/>
      <c r="C223" s="2" t="s">
        <v>18</v>
      </c>
      <c r="E223" s="39"/>
      <c r="F223" s="39"/>
      <c r="G223" s="39"/>
      <c r="H223" s="39"/>
      <c r="I223" s="39"/>
      <c r="L223" s="48" t="s">
        <v>21</v>
      </c>
      <c r="M223" s="49"/>
      <c r="N223" s="49"/>
      <c r="O223" s="49"/>
      <c r="S223" s="39"/>
    </row>
    <row r="224" spans="1:20" x14ac:dyDescent="0.2">
      <c r="B224" s="39"/>
      <c r="E224" s="39"/>
      <c r="F224" s="39"/>
      <c r="G224" s="39"/>
      <c r="H224" s="39"/>
      <c r="I224" s="39"/>
      <c r="L224" s="47" t="s">
        <v>22</v>
      </c>
      <c r="M224" s="42">
        <f>M191</f>
        <v>12765145</v>
      </c>
      <c r="N224" s="42">
        <f>N191</f>
        <v>12676745</v>
      </c>
      <c r="O224" s="42">
        <f>O191</f>
        <v>12676745</v>
      </c>
    </row>
    <row r="225" spans="1:20" x14ac:dyDescent="0.2">
      <c r="B225" s="39"/>
      <c r="E225" s="39"/>
      <c r="F225" s="39"/>
      <c r="G225" s="39"/>
      <c r="H225" s="39"/>
      <c r="I225" s="39"/>
      <c r="L225" s="48" t="s">
        <v>23</v>
      </c>
      <c r="M225" s="49">
        <f>SUM(M6:M7,M13:M14,M22:M23,M32:M33,M41:M42,M52:M53,M64,M73:M74,M88,M98:M99,M108,M117:M118,M128,M137:M138,M152:M153,M157,M167:M168,M177,M186:M187,M197,M206:M207,M215:M216)</f>
        <v>132318900</v>
      </c>
      <c r="N225" s="49">
        <f>SUM(N6:N7,N13:N14,N22:N23,N32:N33,N41:N42,N52:N53,N64,N73:N74,N88,N98:N99,N108,N117:N118,N128,N137:N138,N152:N153,N157,N167:N168,N177,N186:N187,N197,N206:N207,N215:N216)</f>
        <v>65992300</v>
      </c>
      <c r="O225" s="49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9"/>
      <c r="E226" s="39"/>
      <c r="F226" s="39"/>
      <c r="G226" s="39"/>
      <c r="H226" s="39"/>
      <c r="I226" s="39"/>
      <c r="L226" s="47" t="s">
        <v>24</v>
      </c>
      <c r="M226" s="42">
        <f>M12+M79+M81</f>
        <v>105577000</v>
      </c>
      <c r="N226" s="42">
        <f>N12+N79+N81</f>
        <v>39005000</v>
      </c>
      <c r="O226" s="42">
        <f>O12+O79+O81</f>
        <v>39005000</v>
      </c>
    </row>
    <row r="227" spans="1:20" ht="20.25" x14ac:dyDescent="0.3">
      <c r="B227" s="39"/>
      <c r="E227" s="39"/>
      <c r="F227" s="39"/>
      <c r="G227" s="39"/>
      <c r="H227" s="39"/>
      <c r="I227" s="39"/>
      <c r="L227" s="48" t="s">
        <v>25</v>
      </c>
      <c r="M227" s="49">
        <f>M212</f>
        <v>7012308</v>
      </c>
      <c r="N227" s="49">
        <f>N212</f>
        <v>7012308</v>
      </c>
      <c r="O227" s="49">
        <f>O212</f>
        <v>7012308</v>
      </c>
      <c r="P227" s="154"/>
    </row>
    <row r="228" spans="1:20" x14ac:dyDescent="0.2">
      <c r="E228" s="39"/>
      <c r="F228" s="39"/>
      <c r="G228" s="39"/>
      <c r="H228" s="39"/>
      <c r="I228" s="39"/>
      <c r="L228" s="47" t="s">
        <v>26</v>
      </c>
      <c r="M228" s="42">
        <f>M214</f>
        <v>9639000</v>
      </c>
      <c r="N228" s="42">
        <f>N214</f>
        <v>9639000</v>
      </c>
      <c r="O228" s="42">
        <f>O214</f>
        <v>9639000</v>
      </c>
      <c r="T228" s="2" t="s">
        <v>18</v>
      </c>
    </row>
    <row r="229" spans="1:20" x14ac:dyDescent="0.2">
      <c r="A229" s="39"/>
      <c r="L229" s="48" t="s">
        <v>30</v>
      </c>
      <c r="M229" s="49">
        <f>M51</f>
        <v>13613805</v>
      </c>
      <c r="N229" s="49">
        <f>N51</f>
        <v>13613805</v>
      </c>
      <c r="O229" s="49">
        <f>O51</f>
        <v>13613805</v>
      </c>
    </row>
    <row r="230" spans="1:20" x14ac:dyDescent="0.2">
      <c r="L230" s="47" t="s">
        <v>29</v>
      </c>
      <c r="M230" s="42">
        <f>SUM(M21)</f>
        <v>1676000</v>
      </c>
      <c r="N230" s="42">
        <f>SUM(N21)</f>
        <v>400000</v>
      </c>
      <c r="O230" s="42">
        <f>SUM(O21)</f>
        <v>400000</v>
      </c>
    </row>
    <row r="231" spans="1:20" x14ac:dyDescent="0.2">
      <c r="L231" s="47" t="s">
        <v>36</v>
      </c>
      <c r="M231" s="42">
        <f>SUM(M18:M20,M28:M31,M37:M40,M47:M50,M60:M63,M69:M72,M82:M85,M93:M96,M103:M106,M113:M116,M122:M125,M133:M136,M143:M146,M148:M151,M163:M166,M173:M176,M182:M185,M193:M196,M202:M205)</f>
        <v>41396500</v>
      </c>
      <c r="N231" s="42">
        <f>SUM(N18:N20,N28:N31,N37:N40,N47:N50,N60:N63,N69:N72,N82:N85,N93:N96,N103:N106,N113:N116,N122:N125,N133:N136,N143:N146,N148:N151,N163:N166,N173:N176,N182:N185,N193:N196,N202:N205)</f>
        <v>7367000</v>
      </c>
      <c r="O231" s="42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7" t="s">
        <v>33</v>
      </c>
      <c r="M232" s="42">
        <f>SUM(M27,M46,M68,M92,M97,M112,M132,M142,M147,M162,M172,M181,M192,M201)</f>
        <v>12812000</v>
      </c>
      <c r="N232" s="42">
        <f>SUM(N27,N46,N68,N92,N97,N112,N132,N142,N147,N162,N172,N181,N192,N201)</f>
        <v>1185000</v>
      </c>
      <c r="O232" s="42">
        <f>SUM(O27,O46,O68,O92,O97,O112,O132,O142,O147,O162,O172,O181,O192,O201)</f>
        <v>1380000</v>
      </c>
    </row>
    <row r="233" spans="1:20" x14ac:dyDescent="0.2">
      <c r="L233" s="51" t="s">
        <v>17</v>
      </c>
      <c r="M233" s="52">
        <f>SUM(M222:M232)</f>
        <v>635079058</v>
      </c>
      <c r="N233" s="52">
        <f>SUM(N222:N232)</f>
        <v>327181758</v>
      </c>
      <c r="O233" s="52">
        <f>SUM(O222:O232)</f>
        <v>253205858</v>
      </c>
    </row>
    <row r="234" spans="1:20" x14ac:dyDescent="0.2">
      <c r="L234" s="48" t="s">
        <v>27</v>
      </c>
      <c r="M234" s="49">
        <f>SUM(M57:M59,M86:M87,M107,M126:M127)</f>
        <v>15342000</v>
      </c>
      <c r="N234" s="49">
        <f>SUM(N57:N59,N86:N87,N107,N126:N127)</f>
        <v>15342000</v>
      </c>
      <c r="O234" s="49">
        <f>SUM(O57:O59,O86:O87,O107,O126:O127)</f>
        <v>15342000</v>
      </c>
    </row>
    <row r="235" spans="1:20" x14ac:dyDescent="0.2">
      <c r="L235" s="44" t="s">
        <v>28</v>
      </c>
      <c r="M235" s="45">
        <f>M233+M234</f>
        <v>650421058</v>
      </c>
      <c r="N235" s="45">
        <f>N233+N234</f>
        <v>342523758</v>
      </c>
      <c r="O235" s="45">
        <f>O233+O234</f>
        <v>268547858</v>
      </c>
    </row>
    <row r="236" spans="1:20" x14ac:dyDescent="0.2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9"/>
      <c r="N238" s="39"/>
      <c r="O238" s="39"/>
    </row>
    <row r="239" spans="1:20" x14ac:dyDescent="0.2">
      <c r="O239" s="39"/>
    </row>
    <row r="240" spans="1:20" x14ac:dyDescent="0.2">
      <c r="O240" s="86"/>
    </row>
    <row r="241" spans="12:16" x14ac:dyDescent="0.2">
      <c r="M241" s="39"/>
      <c r="N241" s="39"/>
      <c r="O241" s="86"/>
    </row>
    <row r="242" spans="12:16" x14ac:dyDescent="0.2">
      <c r="O242" s="86"/>
    </row>
    <row r="247" spans="12:16" x14ac:dyDescent="0.2">
      <c r="N247" s="116" t="s">
        <v>76</v>
      </c>
      <c r="O247" s="116"/>
      <c r="P247" s="117">
        <v>270419408</v>
      </c>
    </row>
    <row r="248" spans="12:16" x14ac:dyDescent="0.2">
      <c r="N248" s="116" t="s">
        <v>77</v>
      </c>
      <c r="O248" s="116"/>
      <c r="P248" s="118">
        <f>P247-O217</f>
        <v>1871550</v>
      </c>
    </row>
    <row r="249" spans="12:16" x14ac:dyDescent="0.2">
      <c r="L249" s="2">
        <f>223+48</f>
        <v>271</v>
      </c>
      <c r="N249" s="116" t="s">
        <v>72</v>
      </c>
      <c r="O249" s="116"/>
      <c r="P249" s="119">
        <f>O217/P247</f>
        <v>0.99307908402787426</v>
      </c>
    </row>
    <row r="250" spans="12:16" x14ac:dyDescent="0.2">
      <c r="N250" s="250" t="s">
        <v>73</v>
      </c>
      <c r="O250" s="251"/>
      <c r="P250" s="120">
        <f>100%-P249</f>
        <v>6.9209159721257407E-3</v>
      </c>
    </row>
    <row r="259" spans="15:15" x14ac:dyDescent="0.2">
      <c r="O259" s="29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448"/>
  <sheetViews>
    <sheetView showGridLines="0" tabSelected="1" zoomScale="130" zoomScaleNormal="130" zoomScaleSheetLayoutView="100" workbookViewId="0">
      <pane xSplit="4" ySplit="3" topLeftCell="E436" activePane="bottomRight" state="frozen"/>
      <selection pane="topRight" activeCell="D1" sqref="D1"/>
      <selection pane="bottomLeft" activeCell="A4" sqref="A4"/>
      <selection pane="bottomRight" activeCell="A447" sqref="A447:J447"/>
    </sheetView>
  </sheetViews>
  <sheetFormatPr defaultColWidth="9.140625" defaultRowHeight="11.25" outlineLevelRow="1" x14ac:dyDescent="0.2"/>
  <cols>
    <col min="1" max="1" width="9.140625" style="173" customWidth="1"/>
    <col min="2" max="2" width="12.28515625" style="173" customWidth="1"/>
    <col min="3" max="3" width="14.7109375" style="173" customWidth="1"/>
    <col min="4" max="4" width="13.5703125" style="2" bestFit="1" customWidth="1"/>
    <col min="5" max="5" width="13.28515625" style="173" bestFit="1" customWidth="1"/>
    <col min="6" max="6" width="12" style="181" customWidth="1"/>
    <col min="7" max="8" width="10.7109375" style="173" customWidth="1"/>
    <col min="9" max="9" width="12.28515625" style="173" customWidth="1"/>
    <col min="10" max="10" width="11.140625" style="173" bestFit="1" customWidth="1"/>
    <col min="11" max="12" width="15.7109375" style="173" bestFit="1" customWidth="1"/>
    <col min="13" max="13" width="8" style="173" bestFit="1" customWidth="1"/>
    <col min="14" max="14" width="10.7109375" style="2" bestFit="1" customWidth="1"/>
    <col min="15" max="15" width="12" style="2" bestFit="1" customWidth="1"/>
    <col min="16" max="16" width="9.85546875" style="2" bestFit="1" customWidth="1"/>
    <col min="17" max="16384" width="9.140625" style="2"/>
  </cols>
  <sheetData>
    <row r="1" spans="1:16" ht="24.75" customHeight="1" x14ac:dyDescent="0.2">
      <c r="A1" s="174" t="s">
        <v>141</v>
      </c>
      <c r="B1" s="170"/>
      <c r="C1" s="170"/>
    </row>
    <row r="2" spans="1:16" x14ac:dyDescent="0.2">
      <c r="L2" s="258" t="s">
        <v>135</v>
      </c>
      <c r="M2" s="258"/>
    </row>
    <row r="3" spans="1:16" ht="45" x14ac:dyDescent="0.2">
      <c r="A3" s="193" t="s">
        <v>126</v>
      </c>
      <c r="B3" s="193" t="s">
        <v>127</v>
      </c>
      <c r="C3" s="193" t="s">
        <v>128</v>
      </c>
      <c r="D3" s="193" t="s">
        <v>129</v>
      </c>
      <c r="E3" s="193" t="s">
        <v>130</v>
      </c>
      <c r="F3" s="194" t="s">
        <v>131</v>
      </c>
      <c r="G3" s="193" t="s">
        <v>5</v>
      </c>
      <c r="H3" s="193" t="s">
        <v>7</v>
      </c>
      <c r="I3" s="195" t="s">
        <v>120</v>
      </c>
      <c r="J3" s="193" t="s">
        <v>10</v>
      </c>
      <c r="K3" s="193" t="s">
        <v>132</v>
      </c>
      <c r="L3" s="193" t="s">
        <v>133</v>
      </c>
      <c r="M3" s="193" t="s">
        <v>15</v>
      </c>
    </row>
    <row r="4" spans="1:16" s="71" customFormat="1" ht="12.75" customHeight="1" outlineLevel="1" x14ac:dyDescent="0.2">
      <c r="A4" s="176">
        <v>43078</v>
      </c>
      <c r="B4" s="196">
        <v>43080</v>
      </c>
      <c r="C4" s="192" t="s">
        <v>123</v>
      </c>
      <c r="D4" s="175" t="s">
        <v>144</v>
      </c>
      <c r="E4" s="176">
        <v>44937</v>
      </c>
      <c r="F4" s="177">
        <v>2.9499999999999998E-2</v>
      </c>
      <c r="G4" s="187"/>
      <c r="H4" s="187"/>
      <c r="I4" s="203">
        <v>2.9499999999999998E-2</v>
      </c>
      <c r="J4" s="188"/>
      <c r="K4" s="189" t="s">
        <v>136</v>
      </c>
      <c r="L4" s="189" t="s">
        <v>136</v>
      </c>
      <c r="M4" s="168"/>
    </row>
    <row r="5" spans="1:16" s="71" customFormat="1" ht="12.75" customHeight="1" outlineLevel="1" x14ac:dyDescent="0.2">
      <c r="A5" s="190"/>
      <c r="B5" s="190"/>
      <c r="C5" s="190"/>
      <c r="D5" s="175"/>
      <c r="E5" s="176"/>
      <c r="F5" s="177"/>
      <c r="G5" s="187"/>
      <c r="H5" s="187"/>
      <c r="I5" s="203"/>
      <c r="J5" s="191"/>
      <c r="K5" s="168">
        <f>1000*13542</f>
        <v>13542000</v>
      </c>
      <c r="L5" s="200">
        <f>1000*13542</f>
        <v>13542000</v>
      </c>
      <c r="M5" s="204">
        <f t="shared" ref="M5:M15" si="0">IF(L5=0,0,K5/L5)</f>
        <v>1</v>
      </c>
    </row>
    <row r="6" spans="1:16" s="71" customFormat="1" ht="12.75" customHeight="1" outlineLevel="1" x14ac:dyDescent="0.2">
      <c r="A6" s="171"/>
      <c r="B6" s="171"/>
      <c r="C6" s="171"/>
      <c r="D6" s="175" t="s">
        <v>145</v>
      </c>
      <c r="E6" s="196">
        <v>46763</v>
      </c>
      <c r="F6" s="177">
        <v>3.5000000000000003E-2</v>
      </c>
      <c r="G6" s="177"/>
      <c r="H6" s="177"/>
      <c r="I6" s="203">
        <v>3.5000000000000003E-2</v>
      </c>
      <c r="J6" s="178"/>
      <c r="K6" s="168" t="s">
        <v>122</v>
      </c>
      <c r="L6" s="200" t="s">
        <v>122</v>
      </c>
      <c r="M6" s="179"/>
    </row>
    <row r="7" spans="1:16" s="71" customFormat="1" ht="12.75" customHeight="1" outlineLevel="1" x14ac:dyDescent="0.2">
      <c r="A7" s="171"/>
      <c r="B7" s="171"/>
      <c r="C7" s="171"/>
      <c r="D7" s="175"/>
      <c r="E7" s="180" t="s">
        <v>147</v>
      </c>
      <c r="F7" s="177"/>
      <c r="G7" s="177"/>
      <c r="H7" s="177"/>
      <c r="I7" s="203"/>
      <c r="J7" s="178"/>
      <c r="K7" s="182">
        <f>1250*13542</f>
        <v>16927500</v>
      </c>
      <c r="L7" s="205">
        <f>1250*13542</f>
        <v>16927500</v>
      </c>
      <c r="M7" s="204">
        <f t="shared" si="0"/>
        <v>1</v>
      </c>
      <c r="P7" s="186"/>
    </row>
    <row r="8" spans="1:16" s="71" customFormat="1" ht="12.75" customHeight="1" outlineLevel="1" x14ac:dyDescent="0.2">
      <c r="A8" s="171"/>
      <c r="B8" s="171"/>
      <c r="C8" s="171"/>
      <c r="D8" s="175" t="s">
        <v>146</v>
      </c>
      <c r="E8" s="196">
        <v>54068</v>
      </c>
      <c r="F8" s="177">
        <v>4.3499999999999997E-2</v>
      </c>
      <c r="G8" s="177"/>
      <c r="H8" s="177"/>
      <c r="I8" s="203">
        <v>4.3499999999999997E-2</v>
      </c>
      <c r="J8" s="178"/>
      <c r="K8" s="168" t="s">
        <v>148</v>
      </c>
      <c r="L8" s="200" t="s">
        <v>148</v>
      </c>
      <c r="M8" s="179"/>
    </row>
    <row r="9" spans="1:16" s="71" customFormat="1" ht="12.75" customHeight="1" outlineLevel="1" x14ac:dyDescent="0.2">
      <c r="A9" s="171"/>
      <c r="B9" s="171"/>
      <c r="C9" s="171"/>
      <c r="D9" s="175"/>
      <c r="E9" s="180"/>
      <c r="F9" s="177"/>
      <c r="G9" s="177"/>
      <c r="H9" s="177"/>
      <c r="I9" s="177"/>
      <c r="J9" s="178"/>
      <c r="K9" s="182">
        <f>1750*13542</f>
        <v>23698500</v>
      </c>
      <c r="L9" s="205">
        <f>1750*13542</f>
        <v>23698500</v>
      </c>
      <c r="M9" s="204">
        <f t="shared" si="0"/>
        <v>1</v>
      </c>
      <c r="P9" s="186"/>
    </row>
    <row r="10" spans="1:16" s="71" customFormat="1" ht="12.75" customHeight="1" outlineLevel="1" x14ac:dyDescent="0.2">
      <c r="A10" s="252" t="s">
        <v>125</v>
      </c>
      <c r="B10" s="253"/>
      <c r="C10" s="253"/>
      <c r="D10" s="253"/>
      <c r="E10" s="253"/>
      <c r="F10" s="253"/>
      <c r="G10" s="253"/>
      <c r="H10" s="253"/>
      <c r="I10" s="253"/>
      <c r="J10" s="254"/>
      <c r="K10" s="184">
        <f>SUM(K5,K7,K9)</f>
        <v>54168000</v>
      </c>
      <c r="L10" s="206">
        <f>SUM(L5,L7,L9)</f>
        <v>54168000</v>
      </c>
      <c r="M10" s="185"/>
    </row>
    <row r="11" spans="1:16" s="71" customFormat="1" ht="12.75" customHeight="1" outlineLevel="1" x14ac:dyDescent="0.2">
      <c r="A11" s="176">
        <v>43103</v>
      </c>
      <c r="B11" s="176">
        <v>43105</v>
      </c>
      <c r="C11" s="176" t="s">
        <v>124</v>
      </c>
      <c r="D11" s="175" t="s">
        <v>142</v>
      </c>
      <c r="E11" s="180">
        <v>43194</v>
      </c>
      <c r="F11" s="177" t="s">
        <v>134</v>
      </c>
      <c r="G11" s="177">
        <v>3.9800000000000002E-2</v>
      </c>
      <c r="H11" s="177">
        <v>5.0999999999999997E-2</v>
      </c>
      <c r="I11" s="178">
        <v>4.1889999999999997E-2</v>
      </c>
      <c r="J11" s="178">
        <v>4.2999999999999997E-2</v>
      </c>
      <c r="K11" s="182">
        <v>13675000</v>
      </c>
      <c r="L11" s="182">
        <v>5000000</v>
      </c>
      <c r="M11" s="204">
        <f t="shared" si="0"/>
        <v>2.7349999999999999</v>
      </c>
    </row>
    <row r="12" spans="1:16" s="71" customFormat="1" ht="12.75" customHeight="1" outlineLevel="1" x14ac:dyDescent="0.2">
      <c r="A12" s="172"/>
      <c r="B12" s="172"/>
      <c r="C12" s="172"/>
      <c r="D12" s="175" t="s">
        <v>143</v>
      </c>
      <c r="E12" s="180">
        <v>43469</v>
      </c>
      <c r="F12" s="177" t="s">
        <v>134</v>
      </c>
      <c r="G12" s="177">
        <v>4.9000000000000002E-2</v>
      </c>
      <c r="H12" s="177">
        <v>5.5E-2</v>
      </c>
      <c r="I12" s="178">
        <v>4.9883999999999998E-2</v>
      </c>
      <c r="J12" s="178">
        <v>5.0700000000000002E-2</v>
      </c>
      <c r="K12" s="182">
        <v>13415000</v>
      </c>
      <c r="L12" s="182">
        <v>5000000</v>
      </c>
      <c r="M12" s="204">
        <f t="shared" si="0"/>
        <v>2.6829999999999998</v>
      </c>
    </row>
    <row r="13" spans="1:16" s="71" customFormat="1" ht="12.75" customHeight="1" outlineLevel="1" x14ac:dyDescent="0.2">
      <c r="A13" s="171"/>
      <c r="B13" s="171"/>
      <c r="C13" s="171"/>
      <c r="D13" s="175" t="s">
        <v>94</v>
      </c>
      <c r="E13" s="180">
        <v>45061</v>
      </c>
      <c r="F13" s="177">
        <v>5.6250000000000001E-2</v>
      </c>
      <c r="G13" s="177">
        <v>5.7799999999999997E-2</v>
      </c>
      <c r="H13" s="177">
        <v>6.1800000000000001E-2</v>
      </c>
      <c r="I13" s="178">
        <v>5.7999599999999998E-2</v>
      </c>
      <c r="J13" s="197">
        <v>5.8200000000000002E-2</v>
      </c>
      <c r="K13" s="183">
        <v>21474000</v>
      </c>
      <c r="L13" s="205">
        <v>4000000</v>
      </c>
      <c r="M13" s="204">
        <f t="shared" si="0"/>
        <v>5.3685</v>
      </c>
    </row>
    <row r="14" spans="1:16" s="71" customFormat="1" ht="12.75" customHeight="1" outlineLevel="1" x14ac:dyDescent="0.2">
      <c r="A14" s="171"/>
      <c r="B14" s="171"/>
      <c r="C14" s="171"/>
      <c r="D14" s="175" t="s">
        <v>95</v>
      </c>
      <c r="E14" s="180">
        <v>46888</v>
      </c>
      <c r="F14" s="177">
        <v>6.1249999999999999E-2</v>
      </c>
      <c r="G14" s="177">
        <v>6.2100000000000002E-2</v>
      </c>
      <c r="H14" s="177">
        <v>6.6600000000000006E-2</v>
      </c>
      <c r="I14" s="178">
        <v>6.2366499999999998E-2</v>
      </c>
      <c r="J14" s="178">
        <v>6.25E-2</v>
      </c>
      <c r="K14" s="182">
        <v>23704400</v>
      </c>
      <c r="L14" s="205">
        <v>7100000</v>
      </c>
      <c r="M14" s="204">
        <f t="shared" si="0"/>
        <v>3.3386478873239436</v>
      </c>
    </row>
    <row r="15" spans="1:16" s="71" customFormat="1" ht="12.75" customHeight="1" outlineLevel="1" x14ac:dyDescent="0.2">
      <c r="A15" s="172"/>
      <c r="B15" s="172"/>
      <c r="C15" s="172"/>
      <c r="D15" s="175" t="s">
        <v>138</v>
      </c>
      <c r="E15" s="180">
        <v>50540</v>
      </c>
      <c r="F15" s="177">
        <v>7.4999999999999997E-2</v>
      </c>
      <c r="G15" s="177">
        <v>6.9800000000000001E-2</v>
      </c>
      <c r="H15" s="177">
        <v>7.1900000000000006E-2</v>
      </c>
      <c r="I15" s="178">
        <v>6.9999800000000001E-2</v>
      </c>
      <c r="J15" s="197">
        <v>7.0199999999999999E-2</v>
      </c>
      <c r="K15" s="183">
        <v>13940000</v>
      </c>
      <c r="L15" s="205">
        <v>4400000</v>
      </c>
      <c r="M15" s="204">
        <f t="shared" si="0"/>
        <v>3.168181818181818</v>
      </c>
    </row>
    <row r="16" spans="1:16" s="71" customFormat="1" ht="12.75" customHeight="1" outlineLevel="1" x14ac:dyDescent="0.2">
      <c r="A16" s="252" t="s">
        <v>121</v>
      </c>
      <c r="B16" s="253"/>
      <c r="C16" s="253"/>
      <c r="D16" s="253"/>
      <c r="E16" s="253"/>
      <c r="F16" s="253"/>
      <c r="G16" s="253"/>
      <c r="H16" s="253"/>
      <c r="I16" s="253"/>
      <c r="J16" s="254"/>
      <c r="K16" s="184">
        <f>SUM(K11:K15)</f>
        <v>86208400</v>
      </c>
      <c r="L16" s="184">
        <f>SUM(L11:L15)</f>
        <v>25500000</v>
      </c>
      <c r="M16" s="185"/>
    </row>
    <row r="17" spans="1:13" s="71" customFormat="1" ht="12.75" customHeight="1" outlineLevel="1" x14ac:dyDescent="0.2">
      <c r="A17" s="196">
        <v>43109</v>
      </c>
      <c r="B17" s="196">
        <v>43111</v>
      </c>
      <c r="C17" s="196" t="s">
        <v>124</v>
      </c>
      <c r="D17" s="210" t="s">
        <v>149</v>
      </c>
      <c r="E17" s="180">
        <v>43291</v>
      </c>
      <c r="F17" s="203" t="s">
        <v>134</v>
      </c>
      <c r="G17" s="203">
        <v>4.2812500000000003E-2</v>
      </c>
      <c r="H17" s="203">
        <v>5.0312500000000003E-2</v>
      </c>
      <c r="I17" s="203">
        <v>4.4270299999999999E-2</v>
      </c>
      <c r="J17" s="197"/>
      <c r="K17" s="205">
        <v>10640000</v>
      </c>
      <c r="L17" s="205">
        <v>2000000</v>
      </c>
      <c r="M17" s="204">
        <f t="shared" ref="M17:M22" si="1">IF(L17=0,0,K17/L17)</f>
        <v>5.32</v>
      </c>
    </row>
    <row r="18" spans="1:13" s="71" customFormat="1" ht="12.75" customHeight="1" outlineLevel="1" x14ac:dyDescent="0.2">
      <c r="A18" s="172"/>
      <c r="B18" s="172"/>
      <c r="C18" s="172"/>
      <c r="D18" s="210" t="s">
        <v>150</v>
      </c>
      <c r="E18" s="180">
        <v>43905</v>
      </c>
      <c r="F18" s="203">
        <v>6.25E-2</v>
      </c>
      <c r="G18" s="203">
        <v>5.4375E-2</v>
      </c>
      <c r="H18" s="203">
        <v>5.9062499999999997E-2</v>
      </c>
      <c r="I18" s="203">
        <v>5.56759E-2</v>
      </c>
      <c r="J18" s="197"/>
      <c r="K18" s="205">
        <v>7198000</v>
      </c>
      <c r="L18" s="205">
        <v>4370000</v>
      </c>
      <c r="M18" s="204">
        <f t="shared" si="1"/>
        <v>1.6471395881006865</v>
      </c>
    </row>
    <row r="19" spans="1:13" s="71" customFormat="1" ht="12.75" customHeight="1" outlineLevel="1" x14ac:dyDescent="0.2">
      <c r="A19" s="172"/>
      <c r="B19" s="172"/>
      <c r="C19" s="172"/>
      <c r="D19" s="210" t="s">
        <v>49</v>
      </c>
      <c r="E19" s="180">
        <v>44576</v>
      </c>
      <c r="F19" s="203">
        <v>5.45E-2</v>
      </c>
      <c r="G19" s="203">
        <v>5.7812500000000003E-2</v>
      </c>
      <c r="H19" s="203">
        <v>6.1562499999999999E-2</v>
      </c>
      <c r="I19" s="203">
        <v>5.8999999999999997E-2</v>
      </c>
      <c r="J19" s="197"/>
      <c r="K19" s="205">
        <v>3062000</v>
      </c>
      <c r="L19" s="205">
        <v>1550000</v>
      </c>
      <c r="M19" s="204">
        <f t="shared" si="1"/>
        <v>1.975483870967742</v>
      </c>
    </row>
    <row r="20" spans="1:13" s="71" customFormat="1" ht="12.75" customHeight="1" outlineLevel="1" x14ac:dyDescent="0.2">
      <c r="A20" s="171"/>
      <c r="B20" s="171"/>
      <c r="C20" s="171"/>
      <c r="D20" s="210" t="s">
        <v>151</v>
      </c>
      <c r="E20" s="180">
        <v>45945</v>
      </c>
      <c r="F20" s="203">
        <v>6.1249999999999999E-2</v>
      </c>
      <c r="G20" s="203">
        <v>6.0624999999999998E-2</v>
      </c>
      <c r="H20" s="203">
        <v>6.5625000000000003E-2</v>
      </c>
      <c r="I20" s="203">
        <v>6.3130599999999995E-2</v>
      </c>
      <c r="J20" s="197"/>
      <c r="K20" s="183">
        <v>3541000</v>
      </c>
      <c r="L20" s="205">
        <v>2570000</v>
      </c>
      <c r="M20" s="204">
        <f t="shared" si="1"/>
        <v>1.3778210116731517</v>
      </c>
    </row>
    <row r="21" spans="1:13" s="71" customFormat="1" ht="12.75" customHeight="1" outlineLevel="1" x14ac:dyDescent="0.2">
      <c r="A21" s="171"/>
      <c r="B21" s="171"/>
      <c r="C21" s="171"/>
      <c r="D21" s="210" t="s">
        <v>152</v>
      </c>
      <c r="E21" s="180">
        <v>11642</v>
      </c>
      <c r="F21" s="203">
        <v>8.8749999999999996E-2</v>
      </c>
      <c r="G21" s="203">
        <v>6.9062499999999999E-2</v>
      </c>
      <c r="H21" s="203">
        <v>7.2187500000000002E-2</v>
      </c>
      <c r="I21" s="203">
        <v>6.9697200000000001E-2</v>
      </c>
      <c r="J21" s="197"/>
      <c r="K21" s="205">
        <v>6136000</v>
      </c>
      <c r="L21" s="205">
        <v>870000</v>
      </c>
      <c r="M21" s="204">
        <f t="shared" si="1"/>
        <v>7.052873563218391</v>
      </c>
    </row>
    <row r="22" spans="1:13" s="71" customFormat="1" ht="12.75" customHeight="1" outlineLevel="1" x14ac:dyDescent="0.2">
      <c r="A22" s="172"/>
      <c r="B22" s="172"/>
      <c r="C22" s="172"/>
      <c r="D22" s="210" t="s">
        <v>53</v>
      </c>
      <c r="E22" s="180">
        <v>13561</v>
      </c>
      <c r="F22" s="203">
        <v>6.0999999999999999E-2</v>
      </c>
      <c r="G22" s="203">
        <v>7.1249999999999994E-2</v>
      </c>
      <c r="H22" s="203">
        <v>7.4062500000000003E-2</v>
      </c>
      <c r="I22" s="203">
        <v>7.2871099999999994E-2</v>
      </c>
      <c r="J22" s="197"/>
      <c r="K22" s="183">
        <v>1700000</v>
      </c>
      <c r="L22" s="205">
        <v>1640000</v>
      </c>
      <c r="M22" s="204">
        <f t="shared" si="1"/>
        <v>1.0365853658536586</v>
      </c>
    </row>
    <row r="23" spans="1:13" s="71" customFormat="1" ht="12.75" customHeight="1" outlineLevel="1" x14ac:dyDescent="0.2">
      <c r="A23" s="252" t="s">
        <v>121</v>
      </c>
      <c r="B23" s="253"/>
      <c r="C23" s="253"/>
      <c r="D23" s="253"/>
      <c r="E23" s="253"/>
      <c r="F23" s="253"/>
      <c r="G23" s="253"/>
      <c r="H23" s="253"/>
      <c r="I23" s="253"/>
      <c r="J23" s="254"/>
      <c r="K23" s="206">
        <f>SUM(K17:K22)</f>
        <v>32277000</v>
      </c>
      <c r="L23" s="206">
        <f>SUM(L17:L22)</f>
        <v>13000000</v>
      </c>
      <c r="M23" s="185"/>
    </row>
    <row r="24" spans="1:13" s="71" customFormat="1" ht="12.75" customHeight="1" outlineLevel="1" x14ac:dyDescent="0.2">
      <c r="A24" s="196">
        <v>43116</v>
      </c>
      <c r="B24" s="196">
        <v>43118</v>
      </c>
      <c r="C24" s="196" t="s">
        <v>124</v>
      </c>
      <c r="D24" s="175" t="s">
        <v>154</v>
      </c>
      <c r="E24" s="180">
        <v>43207</v>
      </c>
      <c r="F24" s="203" t="s">
        <v>134</v>
      </c>
      <c r="G24" s="203">
        <v>0.04</v>
      </c>
      <c r="H24" s="203">
        <v>4.8000000000000001E-2</v>
      </c>
      <c r="I24" s="197">
        <v>4.0163999999999998E-2</v>
      </c>
      <c r="J24" s="197">
        <v>4.0599999999999997E-2</v>
      </c>
      <c r="K24" s="205">
        <v>15225000</v>
      </c>
      <c r="L24" s="205">
        <v>5000000</v>
      </c>
      <c r="M24" s="204">
        <f t="shared" ref="M24:M28" si="2">IF(L24=0,0,K24/L24)</f>
        <v>3.0449999999999999</v>
      </c>
    </row>
    <row r="25" spans="1:13" s="71" customFormat="1" ht="12.75" customHeight="1" outlineLevel="1" x14ac:dyDescent="0.2">
      <c r="A25" s="172"/>
      <c r="B25" s="172"/>
      <c r="C25" s="172"/>
      <c r="D25" s="175" t="s">
        <v>143</v>
      </c>
      <c r="E25" s="180">
        <v>43469</v>
      </c>
      <c r="F25" s="203" t="s">
        <v>134</v>
      </c>
      <c r="G25" s="203">
        <v>4.8899999999999999E-2</v>
      </c>
      <c r="H25" s="203">
        <v>5.28E-2</v>
      </c>
      <c r="I25" s="197">
        <v>4.9465799999999997E-2</v>
      </c>
      <c r="J25" s="197">
        <v>0.05</v>
      </c>
      <c r="K25" s="205">
        <v>13996000</v>
      </c>
      <c r="L25" s="205">
        <v>5000000</v>
      </c>
      <c r="M25" s="204">
        <f t="shared" si="2"/>
        <v>2.7991999999999999</v>
      </c>
    </row>
    <row r="26" spans="1:13" s="71" customFormat="1" ht="12.75" customHeight="1" outlineLevel="1" x14ac:dyDescent="0.2">
      <c r="A26" s="171"/>
      <c r="B26" s="171"/>
      <c r="C26" s="171"/>
      <c r="D26" s="175" t="s">
        <v>95</v>
      </c>
      <c r="E26" s="180">
        <v>46888</v>
      </c>
      <c r="F26" s="203">
        <v>6.1249999999999999E-2</v>
      </c>
      <c r="G26" s="203">
        <v>0.06</v>
      </c>
      <c r="H26" s="203">
        <v>6.1499999999999999E-2</v>
      </c>
      <c r="I26" s="197">
        <v>6.0397300000000001E-2</v>
      </c>
      <c r="J26" s="197">
        <v>6.0600000000000001E-2</v>
      </c>
      <c r="K26" s="183">
        <v>13105500</v>
      </c>
      <c r="L26" s="205">
        <v>7050000</v>
      </c>
      <c r="M26" s="204">
        <f t="shared" si="2"/>
        <v>1.858936170212766</v>
      </c>
    </row>
    <row r="27" spans="1:13" s="71" customFormat="1" ht="12.75" customHeight="1" outlineLevel="1" x14ac:dyDescent="0.2">
      <c r="A27" s="171"/>
      <c r="B27" s="171"/>
      <c r="C27" s="171"/>
      <c r="D27" s="175" t="s">
        <v>98</v>
      </c>
      <c r="E27" s="180">
        <v>48714</v>
      </c>
      <c r="F27" s="203">
        <v>6.6250000000000003E-2</v>
      </c>
      <c r="G27" s="203">
        <v>6.5299999999999997E-2</v>
      </c>
      <c r="H27" s="203">
        <v>6.7000000000000004E-2</v>
      </c>
      <c r="I27" s="197">
        <v>6.5633800000000006E-2</v>
      </c>
      <c r="J27" s="197">
        <v>6.5699999999999995E-2</v>
      </c>
      <c r="K27" s="205">
        <v>15247000</v>
      </c>
      <c r="L27" s="205">
        <v>3950000</v>
      </c>
      <c r="M27" s="204">
        <f t="shared" si="2"/>
        <v>3.86</v>
      </c>
    </row>
    <row r="28" spans="1:13" s="71" customFormat="1" ht="12.75" customHeight="1" outlineLevel="1" x14ac:dyDescent="0.2">
      <c r="A28" s="211"/>
      <c r="B28" s="211"/>
      <c r="C28" s="211"/>
      <c r="D28" s="212" t="s">
        <v>138</v>
      </c>
      <c r="E28" s="213">
        <v>50540</v>
      </c>
      <c r="F28" s="214">
        <v>7.4999999999999997E-2</v>
      </c>
      <c r="G28" s="214">
        <v>6.8500000000000005E-2</v>
      </c>
      <c r="H28" s="214">
        <v>7.0499999999999993E-2</v>
      </c>
      <c r="I28" s="215">
        <v>6.8739300000000003E-2</v>
      </c>
      <c r="J28" s="215">
        <v>6.88E-2</v>
      </c>
      <c r="K28" s="216">
        <v>14894000</v>
      </c>
      <c r="L28" s="217">
        <v>4500000</v>
      </c>
      <c r="M28" s="218">
        <f t="shared" si="2"/>
        <v>3.3097777777777777</v>
      </c>
    </row>
    <row r="29" spans="1:13" s="71" customFormat="1" ht="12.75" customHeight="1" outlineLevel="1" x14ac:dyDescent="0.2">
      <c r="A29" s="252" t="s">
        <v>121</v>
      </c>
      <c r="B29" s="253"/>
      <c r="C29" s="253"/>
      <c r="D29" s="253"/>
      <c r="E29" s="253"/>
      <c r="F29" s="253"/>
      <c r="G29" s="253"/>
      <c r="H29" s="253"/>
      <c r="I29" s="253"/>
      <c r="J29" s="254"/>
      <c r="K29" s="206">
        <f>SUM(K24:K28)</f>
        <v>72467500</v>
      </c>
      <c r="L29" s="206">
        <f>SUM(L24:L28)</f>
        <v>25500000</v>
      </c>
      <c r="M29" s="185"/>
    </row>
    <row r="30" spans="1:13" s="71" customFormat="1" ht="12.75" customHeight="1" outlineLevel="1" x14ac:dyDescent="0.2">
      <c r="A30" s="196">
        <v>43123</v>
      </c>
      <c r="B30" s="180">
        <v>43125</v>
      </c>
      <c r="C30" s="190" t="s">
        <v>124</v>
      </c>
      <c r="D30" s="219" t="s">
        <v>149</v>
      </c>
      <c r="E30" s="180">
        <v>43291</v>
      </c>
      <c r="F30" s="203" t="s">
        <v>134</v>
      </c>
      <c r="G30" s="203">
        <v>4.2812500000000003E-2</v>
      </c>
      <c r="H30" s="203">
        <v>4.9375000000000002E-2</v>
      </c>
      <c r="I30" s="197">
        <v>4.3484399999999999E-2</v>
      </c>
      <c r="J30" s="220"/>
      <c r="K30" s="221">
        <v>14729000</v>
      </c>
      <c r="L30" s="222">
        <v>2000000</v>
      </c>
      <c r="M30" s="223">
        <f t="shared" ref="M30:M35" si="3">IF(L30=0,0,K30/L30)</f>
        <v>7.3644999999999996</v>
      </c>
    </row>
    <row r="31" spans="1:13" s="71" customFormat="1" ht="12.75" customHeight="1" outlineLevel="1" x14ac:dyDescent="0.2">
      <c r="A31" s="172"/>
      <c r="B31" s="172"/>
      <c r="C31" s="172"/>
      <c r="D31" s="219" t="s">
        <v>150</v>
      </c>
      <c r="E31" s="180">
        <v>43905</v>
      </c>
      <c r="F31" s="203">
        <v>6.25E-2</v>
      </c>
      <c r="G31" s="203">
        <v>5.4375E-2</v>
      </c>
      <c r="H31" s="203">
        <v>5.8125000000000003E-2</v>
      </c>
      <c r="I31" s="197">
        <v>5.6000000000000001E-2</v>
      </c>
      <c r="J31" s="197"/>
      <c r="K31" s="183">
        <v>6061000</v>
      </c>
      <c r="L31" s="205">
        <v>2970000</v>
      </c>
      <c r="M31" s="204">
        <f t="shared" si="3"/>
        <v>2.0407407407407407</v>
      </c>
    </row>
    <row r="32" spans="1:13" s="71" customFormat="1" ht="12.75" customHeight="1" outlineLevel="1" x14ac:dyDescent="0.2">
      <c r="A32" s="172"/>
      <c r="B32" s="172"/>
      <c r="C32" s="172"/>
      <c r="D32" s="219" t="s">
        <v>49</v>
      </c>
      <c r="E32" s="180">
        <v>44576</v>
      </c>
      <c r="F32" s="203">
        <v>5.45E-2</v>
      </c>
      <c r="G32" s="203">
        <v>5.7812500000000003E-2</v>
      </c>
      <c r="H32" s="203">
        <v>6.0624999999999998E-2</v>
      </c>
      <c r="I32" s="197">
        <v>5.8396499999999997E-2</v>
      </c>
      <c r="J32" s="197"/>
      <c r="K32" s="183">
        <v>1685000</v>
      </c>
      <c r="L32" s="205">
        <v>1040000</v>
      </c>
      <c r="M32" s="204">
        <f t="shared" si="3"/>
        <v>1.6201923076923077</v>
      </c>
    </row>
    <row r="33" spans="1:15" s="71" customFormat="1" ht="12.75" customHeight="1" outlineLevel="1" x14ac:dyDescent="0.2">
      <c r="A33" s="172"/>
      <c r="B33" s="172"/>
      <c r="C33" s="172"/>
      <c r="D33" s="219" t="s">
        <v>151</v>
      </c>
      <c r="E33" s="180">
        <v>45945</v>
      </c>
      <c r="F33" s="203">
        <v>6.1249999999999999E-2</v>
      </c>
      <c r="G33" s="203">
        <v>6.21875E-2</v>
      </c>
      <c r="H33" s="203">
        <v>6.5000000000000002E-2</v>
      </c>
      <c r="I33" s="197">
        <v>6.3395099999999996E-2</v>
      </c>
      <c r="J33" s="197"/>
      <c r="K33" s="183">
        <v>936500</v>
      </c>
      <c r="L33" s="205">
        <v>560000</v>
      </c>
      <c r="M33" s="204">
        <f t="shared" si="3"/>
        <v>1.6723214285714285</v>
      </c>
    </row>
    <row r="34" spans="1:15" s="71" customFormat="1" ht="12.75" customHeight="1" outlineLevel="1" x14ac:dyDescent="0.2">
      <c r="A34" s="172"/>
      <c r="B34" s="172"/>
      <c r="C34" s="172"/>
      <c r="D34" s="219" t="s">
        <v>152</v>
      </c>
      <c r="E34" s="180">
        <v>11642</v>
      </c>
      <c r="F34" s="203">
        <v>8.8749999999999996E-2</v>
      </c>
      <c r="G34" s="203">
        <v>6.9062499999999999E-2</v>
      </c>
      <c r="H34" s="203">
        <v>7.4374999999999997E-2</v>
      </c>
      <c r="I34" s="197" t="s">
        <v>137</v>
      </c>
      <c r="J34" s="197"/>
      <c r="K34" s="183">
        <v>1783700</v>
      </c>
      <c r="L34" s="225">
        <v>0</v>
      </c>
      <c r="M34" s="204">
        <f t="shared" si="3"/>
        <v>0</v>
      </c>
    </row>
    <row r="35" spans="1:15" s="71" customFormat="1" ht="12.75" customHeight="1" outlineLevel="1" x14ac:dyDescent="0.2">
      <c r="A35" s="211"/>
      <c r="B35" s="211"/>
      <c r="C35" s="211"/>
      <c r="D35" s="224" t="s">
        <v>53</v>
      </c>
      <c r="E35" s="213">
        <v>13561</v>
      </c>
      <c r="F35" s="214">
        <v>6.0999999999999999E-2</v>
      </c>
      <c r="G35" s="214">
        <v>6.0312499999999998E-2</v>
      </c>
      <c r="H35" s="214">
        <v>7.4999999999999997E-2</v>
      </c>
      <c r="I35" s="215">
        <v>7.3106400000000002E-2</v>
      </c>
      <c r="J35" s="215"/>
      <c r="K35" s="216">
        <v>2797000</v>
      </c>
      <c r="L35" s="217">
        <v>2060000</v>
      </c>
      <c r="M35" s="218">
        <f t="shared" si="3"/>
        <v>1.3577669902912621</v>
      </c>
    </row>
    <row r="36" spans="1:15" s="71" customFormat="1" ht="12.75" customHeight="1" outlineLevel="1" x14ac:dyDescent="0.2">
      <c r="A36" s="252" t="s">
        <v>121</v>
      </c>
      <c r="B36" s="253"/>
      <c r="C36" s="253"/>
      <c r="D36" s="253"/>
      <c r="E36" s="253"/>
      <c r="F36" s="253"/>
      <c r="G36" s="253"/>
      <c r="H36" s="253"/>
      <c r="I36" s="253"/>
      <c r="J36" s="254"/>
      <c r="K36" s="183">
        <f>SUM(K30:K35)</f>
        <v>27992200</v>
      </c>
      <c r="L36" s="205">
        <f>SUM(L30:L35)</f>
        <v>8630000</v>
      </c>
      <c r="M36" s="204"/>
    </row>
    <row r="37" spans="1:15" s="198" customFormat="1" ht="12.75" customHeight="1" x14ac:dyDescent="0.2">
      <c r="A37" s="255" t="s">
        <v>153</v>
      </c>
      <c r="B37" s="256"/>
      <c r="C37" s="256"/>
      <c r="D37" s="256"/>
      <c r="E37" s="256"/>
      <c r="F37" s="256"/>
      <c r="G37" s="256"/>
      <c r="H37" s="256"/>
      <c r="I37" s="256"/>
      <c r="J37" s="257"/>
      <c r="K37" s="202">
        <f>SUM(K16,K23,K29,K36)</f>
        <v>218945100</v>
      </c>
      <c r="L37" s="202">
        <f>SUM(L16,L23,L29,L36)</f>
        <v>72630000</v>
      </c>
      <c r="M37" s="201"/>
      <c r="O37" s="199"/>
    </row>
    <row r="38" spans="1:15" ht="12.75" customHeight="1" x14ac:dyDescent="0.2">
      <c r="A38" s="255" t="s">
        <v>155</v>
      </c>
      <c r="B38" s="256"/>
      <c r="C38" s="256"/>
      <c r="D38" s="256"/>
      <c r="E38" s="256"/>
      <c r="F38" s="256"/>
      <c r="G38" s="256"/>
      <c r="H38" s="256"/>
      <c r="I38" s="256"/>
      <c r="J38" s="257"/>
      <c r="K38" s="202">
        <f>SUM(K10,K16,K23,K29,K36)</f>
        <v>273113100</v>
      </c>
      <c r="L38" s="202">
        <f>SUM(L10,L16,L23,L29,L36)</f>
        <v>126798000</v>
      </c>
      <c r="M38" s="169"/>
      <c r="N38" s="39"/>
    </row>
    <row r="39" spans="1:15" s="71" customFormat="1" ht="12.75" customHeight="1" outlineLevel="1" x14ac:dyDescent="0.2">
      <c r="A39" s="196">
        <v>43130</v>
      </c>
      <c r="B39" s="196">
        <v>43132</v>
      </c>
      <c r="C39" s="196" t="s">
        <v>124</v>
      </c>
      <c r="D39" s="175" t="s">
        <v>156</v>
      </c>
      <c r="E39" s="180">
        <v>43220</v>
      </c>
      <c r="F39" s="203" t="s">
        <v>134</v>
      </c>
      <c r="G39" s="203">
        <v>3.9E-2</v>
      </c>
      <c r="H39" s="203">
        <v>4.7E-2</v>
      </c>
      <c r="I39" s="197">
        <v>3.9528000000000001E-2</v>
      </c>
      <c r="J39" s="197">
        <v>4.0500000000000001E-2</v>
      </c>
      <c r="K39" s="205">
        <v>10501000</v>
      </c>
      <c r="L39" s="205">
        <v>5000000</v>
      </c>
      <c r="M39" s="204">
        <f t="shared" ref="M39:M43" si="4">IF(L39=0,0,K39/L39)</f>
        <v>2.1002000000000001</v>
      </c>
    </row>
    <row r="40" spans="1:15" s="71" customFormat="1" ht="12.75" customHeight="1" outlineLevel="1" x14ac:dyDescent="0.2">
      <c r="A40" s="172"/>
      <c r="B40" s="172"/>
      <c r="C40" s="172"/>
      <c r="D40" s="175" t="s">
        <v>157</v>
      </c>
      <c r="E40" s="180">
        <v>43496</v>
      </c>
      <c r="F40" s="203" t="s">
        <v>134</v>
      </c>
      <c r="G40" s="203">
        <v>4.8899999999999999E-2</v>
      </c>
      <c r="H40" s="203">
        <v>5.8000000000000003E-2</v>
      </c>
      <c r="I40" s="197">
        <v>4.9267999999999999E-2</v>
      </c>
      <c r="J40" s="197">
        <v>4.9700000000000001E-2</v>
      </c>
      <c r="K40" s="205">
        <v>16025000</v>
      </c>
      <c r="L40" s="205">
        <v>5000000</v>
      </c>
      <c r="M40" s="204">
        <f t="shared" si="4"/>
        <v>3.2050000000000001</v>
      </c>
    </row>
    <row r="41" spans="1:15" s="71" customFormat="1" ht="12.75" customHeight="1" outlineLevel="1" x14ac:dyDescent="0.2">
      <c r="A41" s="171"/>
      <c r="B41" s="171"/>
      <c r="C41" s="171"/>
      <c r="D41" s="175" t="s">
        <v>94</v>
      </c>
      <c r="E41" s="180">
        <v>45061</v>
      </c>
      <c r="F41" s="203">
        <v>5.6250000000000001E-2</v>
      </c>
      <c r="G41" s="203">
        <v>5.8000000000000003E-2</v>
      </c>
      <c r="H41" s="203">
        <v>6.0199999999999997E-2</v>
      </c>
      <c r="I41" s="197">
        <v>5.8568200000000001E-2</v>
      </c>
      <c r="J41" s="197">
        <v>5.8700000000000002E-2</v>
      </c>
      <c r="K41" s="183">
        <v>9541800</v>
      </c>
      <c r="L41" s="205">
        <v>4200000</v>
      </c>
      <c r="M41" s="204">
        <f t="shared" si="4"/>
        <v>2.2718571428571428</v>
      </c>
    </row>
    <row r="42" spans="1:15" s="71" customFormat="1" ht="12.75" customHeight="1" outlineLevel="1" x14ac:dyDescent="0.2">
      <c r="A42" s="171"/>
      <c r="B42" s="171"/>
      <c r="C42" s="171"/>
      <c r="D42" s="175" t="s">
        <v>95</v>
      </c>
      <c r="E42" s="180">
        <v>46888</v>
      </c>
      <c r="F42" s="203">
        <v>6.1249999999999999E-2</v>
      </c>
      <c r="G42" s="203">
        <v>6.3E-2</v>
      </c>
      <c r="H42" s="203">
        <v>6.6500000000000004E-2</v>
      </c>
      <c r="I42" s="197">
        <v>6.3589499999999993E-2</v>
      </c>
      <c r="J42" s="197">
        <v>6.3700000000000007E-2</v>
      </c>
      <c r="K42" s="205">
        <v>8175000</v>
      </c>
      <c r="L42" s="205">
        <v>2250000</v>
      </c>
      <c r="M42" s="204">
        <f t="shared" si="4"/>
        <v>3.6333333333333333</v>
      </c>
    </row>
    <row r="43" spans="1:15" s="71" customFormat="1" ht="12.75" customHeight="1" outlineLevel="1" x14ac:dyDescent="0.2">
      <c r="A43" s="211"/>
      <c r="B43" s="211"/>
      <c r="C43" s="211"/>
      <c r="D43" s="212" t="s">
        <v>98</v>
      </c>
      <c r="E43" s="213">
        <v>48714</v>
      </c>
      <c r="F43" s="214">
        <v>6.6250000000000003E-2</v>
      </c>
      <c r="G43" s="214">
        <v>6.7799999999999999E-2</v>
      </c>
      <c r="H43" s="214">
        <v>7.0000000000000007E-2</v>
      </c>
      <c r="I43" s="215">
        <v>6.7983600000000005E-2</v>
      </c>
      <c r="J43" s="215">
        <v>6.8199999999999997E-2</v>
      </c>
      <c r="K43" s="216">
        <v>2987400</v>
      </c>
      <c r="L43" s="217">
        <v>1100000</v>
      </c>
      <c r="M43" s="218">
        <f t="shared" si="4"/>
        <v>2.7158181818181819</v>
      </c>
    </row>
    <row r="44" spans="1:15" s="71" customFormat="1" ht="12.75" customHeight="1" outlineLevel="1" x14ac:dyDescent="0.2">
      <c r="A44" s="252" t="s">
        <v>121</v>
      </c>
      <c r="B44" s="253"/>
      <c r="C44" s="253"/>
      <c r="D44" s="253"/>
      <c r="E44" s="253"/>
      <c r="F44" s="253"/>
      <c r="G44" s="253"/>
      <c r="H44" s="253"/>
      <c r="I44" s="253"/>
      <c r="J44" s="254"/>
      <c r="K44" s="206">
        <f>SUM(K39:K43)</f>
        <v>47230200</v>
      </c>
      <c r="L44" s="206">
        <f>SUM(L39:L43)</f>
        <v>17550000</v>
      </c>
      <c r="M44" s="185"/>
    </row>
    <row r="45" spans="1:15" s="71" customFormat="1" ht="12.75" customHeight="1" outlineLevel="1" x14ac:dyDescent="0.2">
      <c r="A45" s="196">
        <v>43137</v>
      </c>
      <c r="B45" s="180">
        <v>43139</v>
      </c>
      <c r="C45" s="190" t="s">
        <v>124</v>
      </c>
      <c r="D45" s="219" t="s">
        <v>159</v>
      </c>
      <c r="E45" s="180">
        <v>43319</v>
      </c>
      <c r="F45" s="203" t="s">
        <v>134</v>
      </c>
      <c r="G45" s="203">
        <v>4.1250000000000002E-2</v>
      </c>
      <c r="H45" s="203">
        <v>0.05</v>
      </c>
      <c r="I45" s="197">
        <v>4.2197900000000003E-2</v>
      </c>
      <c r="J45" s="220"/>
      <c r="K45" s="221">
        <v>9853000</v>
      </c>
      <c r="L45" s="222">
        <v>3000000</v>
      </c>
      <c r="M45" s="223">
        <f t="shared" ref="M45:M50" si="5">IF(L45=0,0,K45/L45)</f>
        <v>3.2843333333333335</v>
      </c>
    </row>
    <row r="46" spans="1:15" s="71" customFormat="1" ht="12.75" customHeight="1" outlineLevel="1" x14ac:dyDescent="0.2">
      <c r="A46" s="172"/>
      <c r="B46" s="172"/>
      <c r="C46" s="172"/>
      <c r="D46" s="219" t="s">
        <v>150</v>
      </c>
      <c r="E46" s="180">
        <v>43905</v>
      </c>
      <c r="F46" s="203">
        <v>6.25E-2</v>
      </c>
      <c r="G46" s="203">
        <v>5.5937500000000001E-2</v>
      </c>
      <c r="H46" s="203">
        <v>5.9374999999999997E-2</v>
      </c>
      <c r="I46" s="197">
        <v>5.69577E-2</v>
      </c>
      <c r="J46" s="197"/>
      <c r="K46" s="183">
        <v>5638000</v>
      </c>
      <c r="L46" s="205">
        <v>4910000</v>
      </c>
      <c r="M46" s="204">
        <f t="shared" si="5"/>
        <v>1.1482688391038696</v>
      </c>
    </row>
    <row r="47" spans="1:15" s="71" customFormat="1" ht="12.75" customHeight="1" outlineLevel="1" x14ac:dyDescent="0.2">
      <c r="A47" s="172"/>
      <c r="B47" s="172"/>
      <c r="C47" s="172"/>
      <c r="D47" s="219" t="s">
        <v>49</v>
      </c>
      <c r="E47" s="180">
        <v>44576</v>
      </c>
      <c r="F47" s="203">
        <v>5.45E-2</v>
      </c>
      <c r="G47" s="203">
        <v>5.9687499999999998E-2</v>
      </c>
      <c r="H47" s="203">
        <v>6.2812499999999993E-2</v>
      </c>
      <c r="I47" s="197">
        <v>6.0064100000000002E-2</v>
      </c>
      <c r="J47" s="197"/>
      <c r="K47" s="183">
        <v>1102000</v>
      </c>
      <c r="L47" s="205">
        <v>390000</v>
      </c>
      <c r="M47" s="204">
        <f t="shared" si="5"/>
        <v>2.8256410256410258</v>
      </c>
    </row>
    <row r="48" spans="1:15" s="71" customFormat="1" ht="12.75" customHeight="1" outlineLevel="1" x14ac:dyDescent="0.2">
      <c r="A48" s="172"/>
      <c r="B48" s="172"/>
      <c r="C48" s="172"/>
      <c r="D48" s="219" t="s">
        <v>151</v>
      </c>
      <c r="E48" s="180">
        <v>45945</v>
      </c>
      <c r="F48" s="203">
        <v>6.1249999999999999E-2</v>
      </c>
      <c r="G48" s="203">
        <v>6.3437499999999994E-2</v>
      </c>
      <c r="H48" s="203">
        <v>6.8125000000000005E-2</v>
      </c>
      <c r="I48" s="197">
        <v>6.4395400000000005E-2</v>
      </c>
      <c r="J48" s="197"/>
      <c r="K48" s="183">
        <v>844500</v>
      </c>
      <c r="L48" s="205">
        <v>805000</v>
      </c>
      <c r="M48" s="204">
        <f t="shared" si="5"/>
        <v>1.0490683229813664</v>
      </c>
    </row>
    <row r="49" spans="1:13" s="71" customFormat="1" ht="12.75" customHeight="1" outlineLevel="1" x14ac:dyDescent="0.2">
      <c r="A49" s="172"/>
      <c r="B49" s="172"/>
      <c r="C49" s="172"/>
      <c r="D49" s="219" t="s">
        <v>152</v>
      </c>
      <c r="E49" s="180">
        <v>11642</v>
      </c>
      <c r="F49" s="203">
        <v>8.8749999999999996E-2</v>
      </c>
      <c r="G49" s="203">
        <v>7.03125E-2</v>
      </c>
      <c r="H49" s="203">
        <v>7.6249999999999998E-2</v>
      </c>
      <c r="I49" s="197">
        <v>7.1148799999999998E-2</v>
      </c>
      <c r="J49" s="197"/>
      <c r="K49" s="183">
        <v>1017600</v>
      </c>
      <c r="L49" s="225">
        <v>970000</v>
      </c>
      <c r="M49" s="204">
        <f t="shared" si="5"/>
        <v>1.0490721649484536</v>
      </c>
    </row>
    <row r="50" spans="1:13" s="71" customFormat="1" ht="12.75" customHeight="1" outlineLevel="1" x14ac:dyDescent="0.2">
      <c r="A50" s="211"/>
      <c r="B50" s="211"/>
      <c r="C50" s="211"/>
      <c r="D50" s="224" t="s">
        <v>53</v>
      </c>
      <c r="E50" s="213">
        <v>13561</v>
      </c>
      <c r="F50" s="214">
        <v>6.0999999999999999E-2</v>
      </c>
      <c r="G50" s="214">
        <v>7.4062500000000003E-2</v>
      </c>
      <c r="H50" s="214">
        <v>7.8125E-2</v>
      </c>
      <c r="I50" s="197" t="s">
        <v>137</v>
      </c>
      <c r="J50" s="215"/>
      <c r="K50" s="216">
        <v>1690000</v>
      </c>
      <c r="L50" s="226">
        <v>0</v>
      </c>
      <c r="M50" s="227">
        <f t="shared" si="5"/>
        <v>0</v>
      </c>
    </row>
    <row r="51" spans="1:13" s="71" customFormat="1" ht="12.75" customHeight="1" outlineLevel="1" x14ac:dyDescent="0.2">
      <c r="A51" s="252" t="s">
        <v>121</v>
      </c>
      <c r="B51" s="253"/>
      <c r="C51" s="253"/>
      <c r="D51" s="253"/>
      <c r="E51" s="253"/>
      <c r="F51" s="253"/>
      <c r="G51" s="253"/>
      <c r="H51" s="253"/>
      <c r="I51" s="253"/>
      <c r="J51" s="254"/>
      <c r="K51" s="206">
        <f>SUM(K45:K50)</f>
        <v>20145100</v>
      </c>
      <c r="L51" s="206">
        <f>SUM(L45:L50)</f>
        <v>10075000</v>
      </c>
      <c r="M51" s="185"/>
    </row>
    <row r="52" spans="1:13" s="71" customFormat="1" ht="12.75" customHeight="1" outlineLevel="1" x14ac:dyDescent="0.2">
      <c r="A52" s="196">
        <v>43144</v>
      </c>
      <c r="B52" s="196">
        <v>43146</v>
      </c>
      <c r="C52" s="196" t="s">
        <v>124</v>
      </c>
      <c r="D52" s="175" t="s">
        <v>163</v>
      </c>
      <c r="E52" s="180">
        <v>43234</v>
      </c>
      <c r="F52" s="203" t="s">
        <v>134</v>
      </c>
      <c r="G52" s="203">
        <v>0.04</v>
      </c>
      <c r="H52" s="203">
        <v>4.7E-2</v>
      </c>
      <c r="I52" s="197">
        <v>4.0834000000000002E-2</v>
      </c>
      <c r="J52" s="197">
        <v>4.1500000000000002E-2</v>
      </c>
      <c r="K52" s="205">
        <v>10045000</v>
      </c>
      <c r="L52" s="205">
        <v>5000000</v>
      </c>
      <c r="M52" s="204">
        <f t="shared" ref="M52:M56" si="6">IF(L52=0,0,K52/L52)</f>
        <v>2.0089999999999999</v>
      </c>
    </row>
    <row r="53" spans="1:13" s="71" customFormat="1" ht="12.75" customHeight="1" outlineLevel="1" x14ac:dyDescent="0.2">
      <c r="A53" s="172"/>
      <c r="B53" s="172"/>
      <c r="C53" s="172"/>
      <c r="D53" s="175" t="s">
        <v>164</v>
      </c>
      <c r="E53" s="180">
        <v>43510</v>
      </c>
      <c r="F53" s="203" t="s">
        <v>134</v>
      </c>
      <c r="G53" s="203">
        <v>4.9000000000000002E-2</v>
      </c>
      <c r="H53" s="203">
        <v>5.6000000000000001E-2</v>
      </c>
      <c r="I53" s="197">
        <v>4.9662999999999999E-2</v>
      </c>
      <c r="J53" s="197">
        <v>0.05</v>
      </c>
      <c r="K53" s="205">
        <v>16990000</v>
      </c>
      <c r="L53" s="205">
        <v>5000000</v>
      </c>
      <c r="M53" s="204">
        <f t="shared" si="6"/>
        <v>3.3980000000000001</v>
      </c>
    </row>
    <row r="54" spans="1:13" s="71" customFormat="1" ht="12.75" customHeight="1" outlineLevel="1" x14ac:dyDescent="0.2">
      <c r="A54" s="171"/>
      <c r="B54" s="171"/>
      <c r="C54" s="171"/>
      <c r="D54" s="175" t="s">
        <v>95</v>
      </c>
      <c r="E54" s="180">
        <v>46888</v>
      </c>
      <c r="F54" s="203">
        <v>6.1249999999999999E-2</v>
      </c>
      <c r="G54" s="203">
        <v>6.3299999999999995E-2</v>
      </c>
      <c r="H54" s="203">
        <v>6.5799999999999997E-2</v>
      </c>
      <c r="I54" s="197">
        <v>6.3697100000000006E-2</v>
      </c>
      <c r="J54" s="197">
        <v>6.4000000000000001E-2</v>
      </c>
      <c r="K54" s="183">
        <v>9650000</v>
      </c>
      <c r="L54" s="205">
        <v>4300000</v>
      </c>
      <c r="M54" s="204">
        <f t="shared" si="6"/>
        <v>2.2441860465116279</v>
      </c>
    </row>
    <row r="55" spans="1:13" s="71" customFormat="1" ht="12.75" customHeight="1" outlineLevel="1" x14ac:dyDescent="0.2">
      <c r="A55" s="171"/>
      <c r="B55" s="171"/>
      <c r="C55" s="171"/>
      <c r="D55" s="175" t="s">
        <v>98</v>
      </c>
      <c r="E55" s="180">
        <v>48714</v>
      </c>
      <c r="F55" s="203">
        <v>6.6250000000000003E-2</v>
      </c>
      <c r="G55" s="203">
        <v>6.7799999999999999E-2</v>
      </c>
      <c r="H55" s="203">
        <v>7.0000000000000007E-2</v>
      </c>
      <c r="I55" s="197">
        <v>6.8186800000000006E-2</v>
      </c>
      <c r="J55" s="197">
        <v>6.8400000000000002E-2</v>
      </c>
      <c r="K55" s="205">
        <v>3618000</v>
      </c>
      <c r="L55" s="205">
        <v>2750000</v>
      </c>
      <c r="M55" s="204">
        <f t="shared" si="6"/>
        <v>1.3156363636363637</v>
      </c>
    </row>
    <row r="56" spans="1:13" s="71" customFormat="1" ht="12.75" customHeight="1" outlineLevel="1" x14ac:dyDescent="0.2">
      <c r="A56" s="211"/>
      <c r="B56" s="211"/>
      <c r="C56" s="211"/>
      <c r="D56" s="212" t="s">
        <v>138</v>
      </c>
      <c r="E56" s="213">
        <v>50540</v>
      </c>
      <c r="F56" s="214">
        <v>7.4999999999999997E-2</v>
      </c>
      <c r="G56" s="214">
        <v>7.0699999999999999E-2</v>
      </c>
      <c r="H56" s="214">
        <v>7.2999999999999995E-2</v>
      </c>
      <c r="I56" s="215">
        <v>7.1252399999999994E-2</v>
      </c>
      <c r="J56" s="215">
        <v>7.1400000000000005E-2</v>
      </c>
      <c r="K56" s="216">
        <v>5543900</v>
      </c>
      <c r="L56" s="217">
        <v>3950000</v>
      </c>
      <c r="M56" s="218">
        <f t="shared" si="6"/>
        <v>1.4035189873417722</v>
      </c>
    </row>
    <row r="57" spans="1:13" s="71" customFormat="1" ht="12.75" customHeight="1" outlineLevel="1" x14ac:dyDescent="0.2">
      <c r="A57" s="252" t="s">
        <v>121</v>
      </c>
      <c r="B57" s="253"/>
      <c r="C57" s="253"/>
      <c r="D57" s="253"/>
      <c r="E57" s="253"/>
      <c r="F57" s="253"/>
      <c r="G57" s="253"/>
      <c r="H57" s="253"/>
      <c r="I57" s="253"/>
      <c r="J57" s="254"/>
      <c r="K57" s="206">
        <f>SUM(K52:K56)</f>
        <v>45846900</v>
      </c>
      <c r="L57" s="206">
        <f>SUM(L52:L56)</f>
        <v>21000000</v>
      </c>
      <c r="M57" s="185"/>
    </row>
    <row r="58" spans="1:13" s="71" customFormat="1" ht="12.75" customHeight="1" outlineLevel="1" x14ac:dyDescent="0.2">
      <c r="A58" s="196">
        <v>43144</v>
      </c>
      <c r="B58" s="196">
        <v>43146</v>
      </c>
      <c r="C58" s="228" t="s">
        <v>160</v>
      </c>
      <c r="D58" s="175" t="s">
        <v>161</v>
      </c>
      <c r="E58" s="180">
        <v>44331</v>
      </c>
      <c r="F58" s="203">
        <v>6.5000000000000002E-2</v>
      </c>
      <c r="G58" s="203"/>
      <c r="H58" s="203"/>
      <c r="I58" s="197"/>
      <c r="J58" s="197"/>
      <c r="K58" s="221">
        <v>250000</v>
      </c>
      <c r="L58" s="221">
        <v>250000</v>
      </c>
      <c r="M58" s="204">
        <f t="shared" ref="M58:M59" si="7">IF(L58=0,0,K58/L58)</f>
        <v>1</v>
      </c>
    </row>
    <row r="59" spans="1:13" s="71" customFormat="1" ht="12.75" customHeight="1" outlineLevel="1" x14ac:dyDescent="0.2">
      <c r="A59" s="196"/>
      <c r="B59" s="196"/>
      <c r="C59" s="228"/>
      <c r="D59" s="175" t="s">
        <v>162</v>
      </c>
      <c r="E59" s="180">
        <v>45153</v>
      </c>
      <c r="F59" s="203">
        <v>8.7499999999999994E-2</v>
      </c>
      <c r="G59" s="203"/>
      <c r="H59" s="203"/>
      <c r="I59" s="197"/>
      <c r="J59" s="197"/>
      <c r="K59" s="216">
        <v>500000</v>
      </c>
      <c r="L59" s="216">
        <v>500000</v>
      </c>
      <c r="M59" s="218">
        <f t="shared" si="7"/>
        <v>1</v>
      </c>
    </row>
    <row r="60" spans="1:13" s="71" customFormat="1" ht="12.75" customHeight="1" outlineLevel="1" x14ac:dyDescent="0.2">
      <c r="A60" s="252" t="s">
        <v>121</v>
      </c>
      <c r="B60" s="253"/>
      <c r="C60" s="253"/>
      <c r="D60" s="253"/>
      <c r="E60" s="253"/>
      <c r="F60" s="253"/>
      <c r="G60" s="253"/>
      <c r="H60" s="253"/>
      <c r="I60" s="253"/>
      <c r="J60" s="254"/>
      <c r="K60" s="206">
        <f>SUM(K58:K59)</f>
        <v>750000</v>
      </c>
      <c r="L60" s="206">
        <f>SUM(L58:L59)</f>
        <v>750000</v>
      </c>
      <c r="M60" s="185"/>
    </row>
    <row r="61" spans="1:13" s="71" customFormat="1" ht="12.75" customHeight="1" outlineLevel="1" x14ac:dyDescent="0.2">
      <c r="A61" s="196">
        <v>43151</v>
      </c>
      <c r="B61" s="196">
        <v>43153</v>
      </c>
      <c r="C61" s="228" t="s">
        <v>124</v>
      </c>
      <c r="D61" s="175" t="s">
        <v>159</v>
      </c>
      <c r="E61" s="180">
        <v>43319</v>
      </c>
      <c r="F61" s="203" t="s">
        <v>134</v>
      </c>
      <c r="G61" s="203">
        <v>4.1875000000000002E-2</v>
      </c>
      <c r="H61" s="203">
        <v>4.7500000000000001E-2</v>
      </c>
      <c r="I61" s="197">
        <v>4.2302100000000002E-2</v>
      </c>
      <c r="J61" s="197"/>
      <c r="K61" s="221">
        <v>6960000</v>
      </c>
      <c r="L61" s="222">
        <v>3000000</v>
      </c>
      <c r="M61" s="223">
        <f t="shared" ref="M61:M66" si="8">IF(L61=0,0,K61/L61)</f>
        <v>2.3199999999999998</v>
      </c>
    </row>
    <row r="62" spans="1:13" s="71" customFormat="1" ht="12.75" customHeight="1" outlineLevel="1" x14ac:dyDescent="0.2">
      <c r="A62" s="172"/>
      <c r="B62" s="172"/>
      <c r="C62" s="172"/>
      <c r="D62" s="219" t="s">
        <v>150</v>
      </c>
      <c r="E62" s="180">
        <v>43905</v>
      </c>
      <c r="F62" s="203">
        <v>6.25E-2</v>
      </c>
      <c r="G62" s="203">
        <v>5.6562500000000002E-2</v>
      </c>
      <c r="H62" s="203">
        <v>0.06</v>
      </c>
      <c r="I62" s="197">
        <v>5.7668799999999999E-2</v>
      </c>
      <c r="J62" s="197"/>
      <c r="K62" s="183">
        <v>4937000</v>
      </c>
      <c r="L62" s="205">
        <v>4400000</v>
      </c>
      <c r="M62" s="204">
        <f t="shared" si="8"/>
        <v>1.1220454545454546</v>
      </c>
    </row>
    <row r="63" spans="1:13" s="71" customFormat="1" ht="12.75" customHeight="1" outlineLevel="1" x14ac:dyDescent="0.2">
      <c r="A63" s="172"/>
      <c r="B63" s="172"/>
      <c r="C63" s="172"/>
      <c r="D63" s="219" t="s">
        <v>49</v>
      </c>
      <c r="E63" s="180">
        <v>44576</v>
      </c>
      <c r="F63" s="203">
        <v>5.45E-2</v>
      </c>
      <c r="G63" s="203">
        <v>5.9687499999999998E-2</v>
      </c>
      <c r="H63" s="203">
        <v>6.2812499999999993E-2</v>
      </c>
      <c r="I63" s="197">
        <v>6.0661100000000003E-2</v>
      </c>
      <c r="J63" s="197"/>
      <c r="K63" s="183">
        <v>885000</v>
      </c>
      <c r="L63" s="205">
        <v>680000</v>
      </c>
      <c r="M63" s="204">
        <f t="shared" si="8"/>
        <v>1.3014705882352942</v>
      </c>
    </row>
    <row r="64" spans="1:13" s="71" customFormat="1" ht="12.75" customHeight="1" outlineLevel="1" x14ac:dyDescent="0.2">
      <c r="A64" s="172"/>
      <c r="B64" s="172"/>
      <c r="C64" s="172"/>
      <c r="D64" s="219" t="s">
        <v>151</v>
      </c>
      <c r="E64" s="180">
        <v>45945</v>
      </c>
      <c r="F64" s="203">
        <v>6.1249999999999999E-2</v>
      </c>
      <c r="G64" s="203">
        <v>6.5000000000000002E-2</v>
      </c>
      <c r="H64" s="203">
        <v>6.7187499999999997E-2</v>
      </c>
      <c r="I64" s="197">
        <v>6.5642599999999995E-2</v>
      </c>
      <c r="J64" s="197"/>
      <c r="K64" s="183">
        <v>209500</v>
      </c>
      <c r="L64" s="205">
        <v>195000</v>
      </c>
      <c r="M64" s="204">
        <f t="shared" si="8"/>
        <v>1.0743589743589743</v>
      </c>
    </row>
    <row r="65" spans="1:15" s="71" customFormat="1" ht="12.75" customHeight="1" outlineLevel="1" x14ac:dyDescent="0.2">
      <c r="A65" s="172"/>
      <c r="B65" s="172"/>
      <c r="C65" s="172"/>
      <c r="D65" s="219" t="s">
        <v>152</v>
      </c>
      <c r="E65" s="180">
        <v>11642</v>
      </c>
      <c r="F65" s="203">
        <v>8.8749999999999996E-2</v>
      </c>
      <c r="G65" s="203">
        <v>7.1562500000000001E-2</v>
      </c>
      <c r="H65" s="203">
        <v>7.4999999999999997E-2</v>
      </c>
      <c r="I65" s="197" t="s">
        <v>137</v>
      </c>
      <c r="J65" s="197"/>
      <c r="K65" s="183">
        <v>152000</v>
      </c>
      <c r="L65" s="229">
        <v>0</v>
      </c>
      <c r="M65" s="230">
        <f t="shared" si="8"/>
        <v>0</v>
      </c>
    </row>
    <row r="66" spans="1:15" s="71" customFormat="1" ht="12.75" customHeight="1" outlineLevel="1" x14ac:dyDescent="0.2">
      <c r="A66" s="211"/>
      <c r="B66" s="211"/>
      <c r="C66" s="211"/>
      <c r="D66" s="224" t="s">
        <v>53</v>
      </c>
      <c r="E66" s="213">
        <v>13561</v>
      </c>
      <c r="F66" s="214">
        <v>6.0999999999999999E-2</v>
      </c>
      <c r="G66" s="214">
        <v>7.5937500000000005E-2</v>
      </c>
      <c r="H66" s="214">
        <v>7.6562500000000006E-2</v>
      </c>
      <c r="I66" s="197">
        <v>7.6209899999999997E-2</v>
      </c>
      <c r="J66" s="215"/>
      <c r="K66" s="216">
        <v>200000</v>
      </c>
      <c r="L66" s="226">
        <v>200000</v>
      </c>
      <c r="M66" s="227">
        <f t="shared" si="8"/>
        <v>1</v>
      </c>
    </row>
    <row r="67" spans="1:15" s="71" customFormat="1" ht="12.75" customHeight="1" outlineLevel="1" x14ac:dyDescent="0.2">
      <c r="A67" s="252" t="s">
        <v>121</v>
      </c>
      <c r="B67" s="253"/>
      <c r="C67" s="253"/>
      <c r="D67" s="253"/>
      <c r="E67" s="253"/>
      <c r="F67" s="253"/>
      <c r="G67" s="253"/>
      <c r="H67" s="253"/>
      <c r="I67" s="253"/>
      <c r="J67" s="254"/>
      <c r="K67" s="206">
        <f>SUM(K61:K66)</f>
        <v>13343500</v>
      </c>
      <c r="L67" s="206">
        <f>SUM(L61:L66)</f>
        <v>8475000</v>
      </c>
      <c r="M67" s="185"/>
    </row>
    <row r="68" spans="1:15" s="71" customFormat="1" ht="12.75" customHeight="1" outlineLevel="1" x14ac:dyDescent="0.2">
      <c r="A68" s="196">
        <v>43153</v>
      </c>
      <c r="B68" s="196">
        <v>43157</v>
      </c>
      <c r="C68" s="228" t="s">
        <v>160</v>
      </c>
      <c r="D68" s="175" t="s">
        <v>165</v>
      </c>
      <c r="E68" s="180">
        <v>53888</v>
      </c>
      <c r="F68" s="203">
        <v>0.08</v>
      </c>
      <c r="G68" s="203"/>
      <c r="H68" s="203"/>
      <c r="I68" s="197"/>
      <c r="J68" s="197"/>
      <c r="K68" s="221">
        <v>500000</v>
      </c>
      <c r="L68" s="221">
        <v>500000</v>
      </c>
      <c r="M68" s="204">
        <f t="shared" ref="M68" si="9">IF(L68=0,0,K68/L68)</f>
        <v>1</v>
      </c>
    </row>
    <row r="69" spans="1:15" s="71" customFormat="1" ht="12.75" customHeight="1" outlineLevel="1" x14ac:dyDescent="0.2">
      <c r="A69" s="252" t="s">
        <v>121</v>
      </c>
      <c r="B69" s="253"/>
      <c r="C69" s="253"/>
      <c r="D69" s="253"/>
      <c r="E69" s="253"/>
      <c r="F69" s="253"/>
      <c r="G69" s="253"/>
      <c r="H69" s="253"/>
      <c r="I69" s="253"/>
      <c r="J69" s="254"/>
      <c r="K69" s="206">
        <f>SUM(K68:K68)</f>
        <v>500000</v>
      </c>
      <c r="L69" s="206">
        <f>SUM(L68:L68)</f>
        <v>500000</v>
      </c>
      <c r="M69" s="185"/>
    </row>
    <row r="70" spans="1:15" s="71" customFormat="1" ht="12.75" customHeight="1" outlineLevel="1" x14ac:dyDescent="0.2">
      <c r="A70" s="196">
        <v>43157</v>
      </c>
      <c r="B70" s="196">
        <v>43159</v>
      </c>
      <c r="C70" s="228" t="s">
        <v>160</v>
      </c>
      <c r="D70" s="175" t="s">
        <v>150</v>
      </c>
      <c r="E70" s="180">
        <v>43905</v>
      </c>
      <c r="F70" s="203">
        <v>6.25E-2</v>
      </c>
      <c r="G70" s="203"/>
      <c r="H70" s="203"/>
      <c r="I70" s="197"/>
      <c r="J70" s="197"/>
      <c r="K70" s="221">
        <v>1000000</v>
      </c>
      <c r="L70" s="221">
        <v>1000000</v>
      </c>
      <c r="M70" s="204">
        <f t="shared" ref="M70:M71" si="10">IF(L70=0,0,K70/L70)</f>
        <v>1</v>
      </c>
    </row>
    <row r="71" spans="1:15" s="71" customFormat="1" ht="12.75" customHeight="1" outlineLevel="1" x14ac:dyDescent="0.2">
      <c r="A71" s="196"/>
      <c r="B71" s="196"/>
      <c r="C71" s="228"/>
      <c r="D71" s="175" t="s">
        <v>49</v>
      </c>
      <c r="E71" s="180">
        <v>44576</v>
      </c>
      <c r="F71" s="203">
        <v>5.45E-2</v>
      </c>
      <c r="G71" s="203"/>
      <c r="H71" s="203"/>
      <c r="I71" s="197"/>
      <c r="J71" s="197"/>
      <c r="K71" s="216">
        <v>1000000</v>
      </c>
      <c r="L71" s="216">
        <v>1000000</v>
      </c>
      <c r="M71" s="218">
        <f t="shared" si="10"/>
        <v>1</v>
      </c>
    </row>
    <row r="72" spans="1:15" s="71" customFormat="1" ht="12.75" customHeight="1" outlineLevel="1" x14ac:dyDescent="0.2">
      <c r="A72" s="259" t="s">
        <v>121</v>
      </c>
      <c r="B72" s="260"/>
      <c r="C72" s="260"/>
      <c r="D72" s="260"/>
      <c r="E72" s="260"/>
      <c r="F72" s="260"/>
      <c r="G72" s="260"/>
      <c r="H72" s="260"/>
      <c r="I72" s="260"/>
      <c r="J72" s="261"/>
      <c r="K72" s="206">
        <f>SUM(K70:K71)</f>
        <v>2000000</v>
      </c>
      <c r="L72" s="206">
        <f>SUM(L70:L71)</f>
        <v>2000000</v>
      </c>
      <c r="M72" s="185"/>
    </row>
    <row r="73" spans="1:15" s="198" customFormat="1" ht="12.75" customHeight="1" x14ac:dyDescent="0.2">
      <c r="A73" s="255" t="s">
        <v>158</v>
      </c>
      <c r="B73" s="256"/>
      <c r="C73" s="256"/>
      <c r="D73" s="256"/>
      <c r="E73" s="256"/>
      <c r="F73" s="256"/>
      <c r="G73" s="256"/>
      <c r="H73" s="256"/>
      <c r="I73" s="256"/>
      <c r="J73" s="257"/>
      <c r="K73" s="202">
        <f>SUM(K44,K51,K57,K60,K67,K69,K72)</f>
        <v>129815700</v>
      </c>
      <c r="L73" s="202">
        <f>SUM(L44,L51,L57,L60,L67,L69,L72)</f>
        <v>60350000</v>
      </c>
      <c r="M73" s="201"/>
      <c r="O73" s="199"/>
    </row>
    <row r="74" spans="1:15" s="198" customFormat="1" ht="12.75" customHeight="1" x14ac:dyDescent="0.2">
      <c r="A74" s="255" t="s">
        <v>166</v>
      </c>
      <c r="B74" s="256"/>
      <c r="C74" s="256"/>
      <c r="D74" s="256"/>
      <c r="E74" s="256"/>
      <c r="F74" s="256"/>
      <c r="G74" s="256"/>
      <c r="H74" s="256"/>
      <c r="I74" s="256"/>
      <c r="J74" s="257"/>
      <c r="K74" s="202">
        <f>SUM(K38,K44,K51,K57,K60,K67,K69,K72)</f>
        <v>402928800</v>
      </c>
      <c r="L74" s="202">
        <f>SUM(L38,L44,L51,L57,L60,L67,L69,L72)</f>
        <v>187148000</v>
      </c>
      <c r="M74" s="201"/>
      <c r="N74" s="39"/>
    </row>
    <row r="75" spans="1:15" s="71" customFormat="1" ht="12.75" customHeight="1" outlineLevel="1" x14ac:dyDescent="0.2">
      <c r="A75" s="196">
        <v>43158</v>
      </c>
      <c r="B75" s="196">
        <v>43160</v>
      </c>
      <c r="C75" s="196" t="s">
        <v>124</v>
      </c>
      <c r="D75" s="175" t="s">
        <v>167</v>
      </c>
      <c r="E75" s="180">
        <v>43248</v>
      </c>
      <c r="F75" s="203" t="s">
        <v>134</v>
      </c>
      <c r="G75" s="203">
        <v>4.0500000000000001E-2</v>
      </c>
      <c r="H75" s="197">
        <v>4.5499999999999999E-2</v>
      </c>
      <c r="I75" s="197">
        <v>4.0770399999999998E-2</v>
      </c>
      <c r="J75" s="197">
        <v>4.1000000000000002E-2</v>
      </c>
      <c r="K75" s="205">
        <v>9140000</v>
      </c>
      <c r="L75" s="205">
        <v>5000000</v>
      </c>
      <c r="M75" s="204">
        <f t="shared" ref="M75:M79" si="11">IF(L75=0,0,K75/L75)</f>
        <v>1.8280000000000001</v>
      </c>
    </row>
    <row r="76" spans="1:15" s="71" customFormat="1" ht="12.75" customHeight="1" outlineLevel="1" x14ac:dyDescent="0.2">
      <c r="A76" s="172"/>
      <c r="B76" s="172"/>
      <c r="C76" s="172"/>
      <c r="D76" s="175" t="s">
        <v>164</v>
      </c>
      <c r="E76" s="180">
        <v>43510</v>
      </c>
      <c r="F76" s="203" t="s">
        <v>134</v>
      </c>
      <c r="G76" s="203">
        <v>4.9399999999999999E-2</v>
      </c>
      <c r="H76" s="203">
        <v>5.3499999999999999E-2</v>
      </c>
      <c r="I76" s="197">
        <v>4.9806400000000001E-2</v>
      </c>
      <c r="J76" s="197">
        <v>0.05</v>
      </c>
      <c r="K76" s="205">
        <v>12480000</v>
      </c>
      <c r="L76" s="205">
        <v>5000000</v>
      </c>
      <c r="M76" s="204">
        <f t="shared" si="11"/>
        <v>2.496</v>
      </c>
    </row>
    <row r="77" spans="1:15" s="71" customFormat="1" ht="12.75" customHeight="1" outlineLevel="1" x14ac:dyDescent="0.2">
      <c r="A77" s="172"/>
      <c r="B77" s="172"/>
      <c r="C77" s="172"/>
      <c r="D77" s="175" t="s">
        <v>94</v>
      </c>
      <c r="E77" s="180">
        <v>45061</v>
      </c>
      <c r="F77" s="203">
        <v>5.6250000000000001E-2</v>
      </c>
      <c r="G77" s="203">
        <v>5.8000000000000003E-2</v>
      </c>
      <c r="H77" s="203">
        <v>0.06</v>
      </c>
      <c r="I77" s="197">
        <v>5.8599199999999997E-2</v>
      </c>
      <c r="J77" s="197">
        <v>5.8999999999999997E-2</v>
      </c>
      <c r="K77" s="205">
        <v>11063000</v>
      </c>
      <c r="L77" s="205">
        <v>9800000</v>
      </c>
      <c r="M77" s="204">
        <f t="shared" si="11"/>
        <v>1.1288775510204081</v>
      </c>
    </row>
    <row r="78" spans="1:15" s="71" customFormat="1" ht="12.75" customHeight="1" outlineLevel="1" x14ac:dyDescent="0.2">
      <c r="A78" s="172"/>
      <c r="B78" s="172"/>
      <c r="C78" s="172"/>
      <c r="D78" s="175" t="s">
        <v>98</v>
      </c>
      <c r="E78" s="180">
        <v>48714</v>
      </c>
      <c r="F78" s="203">
        <v>6.6250000000000003E-2</v>
      </c>
      <c r="G78" s="203">
        <v>6.9199999999999998E-2</v>
      </c>
      <c r="H78" s="203">
        <v>7.0499999999999993E-2</v>
      </c>
      <c r="I78" s="197">
        <v>6.9699899999999995E-2</v>
      </c>
      <c r="J78" s="197">
        <v>6.9900000000000004E-2</v>
      </c>
      <c r="K78" s="205">
        <v>3074600</v>
      </c>
      <c r="L78" s="205">
        <v>1200000</v>
      </c>
      <c r="M78" s="204">
        <f t="shared" si="11"/>
        <v>2.5621666666666667</v>
      </c>
    </row>
    <row r="79" spans="1:15" s="71" customFormat="1" ht="12.75" customHeight="1" outlineLevel="1" x14ac:dyDescent="0.2">
      <c r="A79" s="172"/>
      <c r="B79" s="172"/>
      <c r="C79" s="172"/>
      <c r="D79" s="175" t="s">
        <v>138</v>
      </c>
      <c r="E79" s="180">
        <v>50540</v>
      </c>
      <c r="F79" s="203">
        <v>7.4999999999999997E-2</v>
      </c>
      <c r="G79" s="203">
        <v>7.2499999999999995E-2</v>
      </c>
      <c r="H79" s="203">
        <v>7.4700000000000003E-2</v>
      </c>
      <c r="I79" s="197">
        <v>7.2799699999999995E-2</v>
      </c>
      <c r="J79" s="197">
        <v>7.2900000000000006E-2</v>
      </c>
      <c r="K79" s="205">
        <v>5332300</v>
      </c>
      <c r="L79" s="205">
        <v>2100000</v>
      </c>
      <c r="M79" s="204">
        <f t="shared" si="11"/>
        <v>2.539190476190476</v>
      </c>
    </row>
    <row r="80" spans="1:15" s="71" customFormat="1" ht="12.75" customHeight="1" outlineLevel="1" x14ac:dyDescent="0.2">
      <c r="A80" s="252" t="s">
        <v>121</v>
      </c>
      <c r="B80" s="253"/>
      <c r="C80" s="253"/>
      <c r="D80" s="253"/>
      <c r="E80" s="253"/>
      <c r="F80" s="253"/>
      <c r="G80" s="253"/>
      <c r="H80" s="253"/>
      <c r="I80" s="253"/>
      <c r="J80" s="254"/>
      <c r="K80" s="206">
        <f>SUM(K75:K79)</f>
        <v>41089900</v>
      </c>
      <c r="L80" s="206">
        <f>SUM(L75:L79)</f>
        <v>23100000</v>
      </c>
      <c r="M80" s="185"/>
    </row>
    <row r="81" spans="1:16" s="71" customFormat="1" ht="12.75" customHeight="1" outlineLevel="1" x14ac:dyDescent="0.2">
      <c r="A81" s="196">
        <v>43153</v>
      </c>
      <c r="B81" s="196">
        <v>43160</v>
      </c>
      <c r="C81" s="192" t="s">
        <v>123</v>
      </c>
      <c r="D81" s="175" t="s">
        <v>169</v>
      </c>
      <c r="E81" s="196">
        <v>44986</v>
      </c>
      <c r="F81" s="203">
        <v>3.7499999999999999E-2</v>
      </c>
      <c r="G81" s="187"/>
      <c r="H81" s="187"/>
      <c r="I81" s="203">
        <v>3.7499999999999999E-2</v>
      </c>
      <c r="J81" s="188"/>
      <c r="K81" s="189" t="s">
        <v>122</v>
      </c>
      <c r="L81" s="189" t="s">
        <v>122</v>
      </c>
      <c r="M81" s="200"/>
    </row>
    <row r="82" spans="1:16" s="71" customFormat="1" ht="12.75" customHeight="1" outlineLevel="1" x14ac:dyDescent="0.2">
      <c r="A82" s="190"/>
      <c r="B82" s="190"/>
      <c r="C82" s="190"/>
      <c r="D82" s="175"/>
      <c r="E82" s="196"/>
      <c r="F82" s="203"/>
      <c r="G82" s="187"/>
      <c r="H82" s="187"/>
      <c r="I82" s="203"/>
      <c r="J82" s="191"/>
      <c r="K82" s="200">
        <f>1250*13793</f>
        <v>17241250</v>
      </c>
      <c r="L82" s="200">
        <f>1250*13793</f>
        <v>17241250</v>
      </c>
      <c r="M82" s="204">
        <f t="shared" ref="M82" si="12">IF(L82=0,0,K82/L82)</f>
        <v>1</v>
      </c>
    </row>
    <row r="83" spans="1:16" s="71" customFormat="1" ht="12.75" customHeight="1" outlineLevel="1" x14ac:dyDescent="0.2">
      <c r="A83" s="171"/>
      <c r="B83" s="171"/>
      <c r="C83" s="171"/>
      <c r="D83" s="175" t="s">
        <v>170</v>
      </c>
      <c r="E83" s="196">
        <v>46813</v>
      </c>
      <c r="F83" s="203">
        <v>4.3999999999999997E-2</v>
      </c>
      <c r="G83" s="203"/>
      <c r="H83" s="203"/>
      <c r="I83" s="203">
        <v>4.3999999999999997E-2</v>
      </c>
      <c r="J83" s="197"/>
      <c r="K83" s="200" t="s">
        <v>148</v>
      </c>
      <c r="L83" s="200" t="s">
        <v>148</v>
      </c>
      <c r="M83" s="204"/>
    </row>
    <row r="84" spans="1:16" s="71" customFormat="1" ht="12.75" customHeight="1" outlineLevel="1" x14ac:dyDescent="0.2">
      <c r="A84" s="171"/>
      <c r="B84" s="171"/>
      <c r="C84" s="171"/>
      <c r="D84" s="175"/>
      <c r="E84" s="180" t="s">
        <v>147</v>
      </c>
      <c r="F84" s="203"/>
      <c r="G84" s="203"/>
      <c r="H84" s="203"/>
      <c r="I84" s="203"/>
      <c r="J84" s="197"/>
      <c r="K84" s="205">
        <f>1750*13793</f>
        <v>24137750</v>
      </c>
      <c r="L84" s="205">
        <f>1750*13793</f>
        <v>24137750</v>
      </c>
      <c r="M84" s="204">
        <f t="shared" ref="M84" si="13">IF(L84=0,0,K84/L84)</f>
        <v>1</v>
      </c>
      <c r="P84" s="186"/>
    </row>
    <row r="85" spans="1:16" s="71" customFormat="1" ht="12.75" customHeight="1" outlineLevel="1" x14ac:dyDescent="0.2">
      <c r="A85" s="252" t="s">
        <v>121</v>
      </c>
      <c r="B85" s="253"/>
      <c r="C85" s="253"/>
      <c r="D85" s="253"/>
      <c r="E85" s="253"/>
      <c r="F85" s="253"/>
      <c r="G85" s="253"/>
      <c r="H85" s="253"/>
      <c r="I85" s="253"/>
      <c r="J85" s="254"/>
      <c r="K85" s="206">
        <f>SUM(K82,K84)</f>
        <v>41379000</v>
      </c>
      <c r="L85" s="206">
        <f>SUM(L82,L84)</f>
        <v>41379000</v>
      </c>
      <c r="M85" s="185"/>
    </row>
    <row r="86" spans="1:16" s="71" customFormat="1" ht="12.75" customHeight="1" outlineLevel="1" x14ac:dyDescent="0.2">
      <c r="A86" s="196">
        <v>43165</v>
      </c>
      <c r="B86" s="180">
        <v>43167</v>
      </c>
      <c r="C86" s="190" t="s">
        <v>124</v>
      </c>
      <c r="D86" s="219" t="s">
        <v>171</v>
      </c>
      <c r="E86" s="180">
        <v>43350</v>
      </c>
      <c r="F86" s="203" t="s">
        <v>134</v>
      </c>
      <c r="G86" s="203">
        <v>4.2187500000000003E-2</v>
      </c>
      <c r="H86" s="203">
        <v>5.8749999999999997E-2</v>
      </c>
      <c r="I86" s="197">
        <v>4.2866899999999999E-2</v>
      </c>
      <c r="J86" s="220"/>
      <c r="K86" s="221">
        <v>3755000</v>
      </c>
      <c r="L86" s="222">
        <v>1230000</v>
      </c>
      <c r="M86" s="223">
        <f t="shared" ref="M86:M91" si="14">IF(L86=0,0,K86/L86)</f>
        <v>3.0528455284552845</v>
      </c>
    </row>
    <row r="87" spans="1:16" s="71" customFormat="1" ht="12.75" customHeight="1" outlineLevel="1" x14ac:dyDescent="0.2">
      <c r="A87" s="172"/>
      <c r="B87" s="172"/>
      <c r="C87" s="172"/>
      <c r="D87" s="219" t="s">
        <v>150</v>
      </c>
      <c r="E87" s="180">
        <v>43905</v>
      </c>
      <c r="F87" s="203">
        <v>6.25E-2</v>
      </c>
      <c r="G87" s="203">
        <v>5.7812500000000003E-2</v>
      </c>
      <c r="H87" s="203">
        <v>6.4687499999999995E-2</v>
      </c>
      <c r="I87" s="197">
        <v>5.97455E-2</v>
      </c>
      <c r="J87" s="197"/>
      <c r="K87" s="183">
        <v>2425000</v>
      </c>
      <c r="L87" s="205">
        <v>1920000</v>
      </c>
      <c r="M87" s="204">
        <f t="shared" si="14"/>
        <v>1.2630208333333333</v>
      </c>
    </row>
    <row r="88" spans="1:16" s="71" customFormat="1" ht="12.75" customHeight="1" outlineLevel="1" x14ac:dyDescent="0.2">
      <c r="A88" s="172"/>
      <c r="B88" s="172"/>
      <c r="C88" s="172"/>
      <c r="D88" s="219" t="s">
        <v>49</v>
      </c>
      <c r="E88" s="180">
        <v>44576</v>
      </c>
      <c r="F88" s="203">
        <v>5.45E-2</v>
      </c>
      <c r="G88" s="203">
        <v>6.21875E-2</v>
      </c>
      <c r="H88" s="203">
        <v>6.5000000000000002E-2</v>
      </c>
      <c r="I88" s="197">
        <v>6.2671599999999994E-2</v>
      </c>
      <c r="J88" s="197"/>
      <c r="K88" s="183">
        <v>892000</v>
      </c>
      <c r="L88" s="205">
        <v>510000</v>
      </c>
      <c r="M88" s="204">
        <f t="shared" si="14"/>
        <v>1.7490196078431373</v>
      </c>
    </row>
    <row r="89" spans="1:16" s="71" customFormat="1" ht="12.75" customHeight="1" outlineLevel="1" x14ac:dyDescent="0.2">
      <c r="A89" s="172"/>
      <c r="B89" s="172"/>
      <c r="C89" s="172"/>
      <c r="D89" s="219" t="s">
        <v>151</v>
      </c>
      <c r="E89" s="180">
        <v>45945</v>
      </c>
      <c r="F89" s="203">
        <v>6.1249999999999999E-2</v>
      </c>
      <c r="G89" s="203">
        <v>6.6250000000000003E-2</v>
      </c>
      <c r="H89" s="203">
        <v>6.8437499999999998E-2</v>
      </c>
      <c r="I89" s="197">
        <v>6.7126000000000005E-2</v>
      </c>
      <c r="J89" s="197"/>
      <c r="K89" s="183">
        <v>192000</v>
      </c>
      <c r="L89" s="205">
        <v>185000</v>
      </c>
      <c r="M89" s="204">
        <f t="shared" si="14"/>
        <v>1.0378378378378379</v>
      </c>
    </row>
    <row r="90" spans="1:16" s="71" customFormat="1" ht="12.75" customHeight="1" outlineLevel="1" x14ac:dyDescent="0.2">
      <c r="A90" s="172"/>
      <c r="B90" s="172"/>
      <c r="C90" s="172"/>
      <c r="D90" s="219" t="s">
        <v>152</v>
      </c>
      <c r="E90" s="180">
        <v>11642</v>
      </c>
      <c r="F90" s="203">
        <v>8.8749999999999996E-2</v>
      </c>
      <c r="G90" s="203">
        <v>7.0937500000000001E-2</v>
      </c>
      <c r="H90" s="203">
        <v>7.7499999999999999E-2</v>
      </c>
      <c r="I90" s="197">
        <v>7.3081699999999999E-2</v>
      </c>
      <c r="J90" s="197"/>
      <c r="K90" s="183">
        <v>824000</v>
      </c>
      <c r="L90" s="229">
        <v>810000</v>
      </c>
      <c r="M90" s="204">
        <f t="shared" si="14"/>
        <v>1.0172839506172839</v>
      </c>
    </row>
    <row r="91" spans="1:16" s="71" customFormat="1" ht="12.75" customHeight="1" outlineLevel="1" x14ac:dyDescent="0.2">
      <c r="A91" s="211"/>
      <c r="B91" s="211"/>
      <c r="C91" s="211"/>
      <c r="D91" s="224" t="s">
        <v>53</v>
      </c>
      <c r="E91" s="213">
        <v>13561</v>
      </c>
      <c r="F91" s="214">
        <v>6.0999999999999999E-2</v>
      </c>
      <c r="G91" s="214">
        <v>7.4062500000000003E-2</v>
      </c>
      <c r="H91" s="214">
        <v>7.8125E-2</v>
      </c>
      <c r="I91" s="197">
        <v>7.6500600000000002E-2</v>
      </c>
      <c r="J91" s="215"/>
      <c r="K91" s="216">
        <v>527000</v>
      </c>
      <c r="L91" s="226">
        <v>440000</v>
      </c>
      <c r="M91" s="227">
        <f t="shared" si="14"/>
        <v>1.1977272727272728</v>
      </c>
    </row>
    <row r="92" spans="1:16" s="71" customFormat="1" ht="12.75" customHeight="1" outlineLevel="1" x14ac:dyDescent="0.2">
      <c r="A92" s="252" t="s">
        <v>121</v>
      </c>
      <c r="B92" s="253"/>
      <c r="C92" s="253"/>
      <c r="D92" s="253"/>
      <c r="E92" s="253"/>
      <c r="F92" s="253"/>
      <c r="G92" s="253"/>
      <c r="H92" s="253"/>
      <c r="I92" s="253"/>
      <c r="J92" s="254"/>
      <c r="K92" s="206">
        <f>SUM(K86:K91)</f>
        <v>8615000</v>
      </c>
      <c r="L92" s="206">
        <f>SUM(L86:L91)</f>
        <v>5095000</v>
      </c>
      <c r="M92" s="185"/>
    </row>
    <row r="93" spans="1:16" s="71" customFormat="1" ht="12.75" customHeight="1" outlineLevel="1" x14ac:dyDescent="0.2">
      <c r="A93" s="196">
        <v>43168</v>
      </c>
      <c r="B93" s="196">
        <v>43172</v>
      </c>
      <c r="C93" s="228" t="s">
        <v>160</v>
      </c>
      <c r="D93" s="175" t="s">
        <v>172</v>
      </c>
      <c r="E93" s="180">
        <v>43600</v>
      </c>
      <c r="F93" s="203">
        <v>6.25E-2</v>
      </c>
      <c r="G93" s="203"/>
      <c r="H93" s="203"/>
      <c r="I93" s="197"/>
      <c r="J93" s="197"/>
      <c r="K93" s="221">
        <v>250000</v>
      </c>
      <c r="L93" s="221">
        <v>250000</v>
      </c>
      <c r="M93" s="204">
        <f t="shared" ref="M93" si="15">IF(L93=0,0,K93/L93)</f>
        <v>1</v>
      </c>
    </row>
    <row r="94" spans="1:16" s="71" customFormat="1" ht="12.75" customHeight="1" outlineLevel="1" x14ac:dyDescent="0.2">
      <c r="A94" s="252" t="s">
        <v>121</v>
      </c>
      <c r="B94" s="253"/>
      <c r="C94" s="253"/>
      <c r="D94" s="253"/>
      <c r="E94" s="253"/>
      <c r="F94" s="253"/>
      <c r="G94" s="253"/>
      <c r="H94" s="253"/>
      <c r="I94" s="253"/>
      <c r="J94" s="254"/>
      <c r="K94" s="206">
        <f>SUM(K93:K93)</f>
        <v>250000</v>
      </c>
      <c r="L94" s="206">
        <f>SUM(L93:L93)</f>
        <v>250000</v>
      </c>
      <c r="M94" s="185"/>
    </row>
    <row r="95" spans="1:16" s="71" customFormat="1" ht="12.75" customHeight="1" outlineLevel="1" x14ac:dyDescent="0.2">
      <c r="A95" s="196">
        <v>43172</v>
      </c>
      <c r="B95" s="196">
        <v>43174</v>
      </c>
      <c r="C95" s="196" t="s">
        <v>124</v>
      </c>
      <c r="D95" s="175" t="s">
        <v>173</v>
      </c>
      <c r="E95" s="180">
        <v>43265</v>
      </c>
      <c r="F95" s="203" t="s">
        <v>134</v>
      </c>
      <c r="G95" s="203">
        <v>4.1399999999999999E-2</v>
      </c>
      <c r="H95" s="197">
        <v>4.9000000000000002E-2</v>
      </c>
      <c r="I95" s="197">
        <v>4.2035200000000002E-2</v>
      </c>
      <c r="J95" s="197">
        <v>4.2700000000000002E-2</v>
      </c>
      <c r="K95" s="205">
        <v>6575000</v>
      </c>
      <c r="L95" s="205">
        <v>5000000</v>
      </c>
      <c r="M95" s="204">
        <f t="shared" ref="M95:M100" si="16">IF(L95=0,0,K95/L95)</f>
        <v>1.3149999999999999</v>
      </c>
    </row>
    <row r="96" spans="1:16" s="71" customFormat="1" ht="12.75" customHeight="1" outlineLevel="1" x14ac:dyDescent="0.2">
      <c r="A96" s="172"/>
      <c r="B96" s="172"/>
      <c r="C96" s="172"/>
      <c r="D96" s="175" t="s">
        <v>174</v>
      </c>
      <c r="E96" s="180">
        <v>43538</v>
      </c>
      <c r="F96" s="203" t="s">
        <v>134</v>
      </c>
      <c r="G96" s="203">
        <v>4.9399999999999999E-2</v>
      </c>
      <c r="H96" s="203">
        <v>5.5E-2</v>
      </c>
      <c r="I96" s="197">
        <v>5.0316100000000002E-2</v>
      </c>
      <c r="J96" s="197">
        <v>5.1400000000000001E-2</v>
      </c>
      <c r="K96" s="205">
        <v>8400000</v>
      </c>
      <c r="L96" s="205">
        <v>5000000</v>
      </c>
      <c r="M96" s="204">
        <f t="shared" si="16"/>
        <v>1.68</v>
      </c>
    </row>
    <row r="97" spans="1:13" s="71" customFormat="1" ht="12.75" customHeight="1" outlineLevel="1" x14ac:dyDescent="0.2">
      <c r="A97" s="172"/>
      <c r="B97" s="172"/>
      <c r="C97" s="172"/>
      <c r="D97" s="175" t="s">
        <v>94</v>
      </c>
      <c r="E97" s="180">
        <v>45061</v>
      </c>
      <c r="F97" s="203">
        <v>5.6250000000000001E-2</v>
      </c>
      <c r="G97" s="203">
        <v>6.1499999999999999E-2</v>
      </c>
      <c r="H97" s="203">
        <v>6.3399999999999998E-2</v>
      </c>
      <c r="I97" s="197">
        <v>6.1595799999999999E-2</v>
      </c>
      <c r="J97" s="197">
        <v>6.1800000000000001E-2</v>
      </c>
      <c r="K97" s="205">
        <v>6261000</v>
      </c>
      <c r="L97" s="205">
        <v>1400000</v>
      </c>
      <c r="M97" s="204">
        <f t="shared" si="16"/>
        <v>4.472142857142857</v>
      </c>
    </row>
    <row r="98" spans="1:13" s="71" customFormat="1" ht="12.75" customHeight="1" outlineLevel="1" x14ac:dyDescent="0.2">
      <c r="A98" s="172"/>
      <c r="B98" s="172"/>
      <c r="C98" s="172"/>
      <c r="D98" s="175" t="s">
        <v>95</v>
      </c>
      <c r="E98" s="180">
        <v>46888</v>
      </c>
      <c r="F98" s="203">
        <v>6.1249999999999999E-2</v>
      </c>
      <c r="G98" s="203">
        <v>6.7199999999999996E-2</v>
      </c>
      <c r="H98" s="203">
        <v>7.0000000000000007E-2</v>
      </c>
      <c r="I98" s="197">
        <v>6.7499799999999999E-2</v>
      </c>
      <c r="J98" s="197">
        <v>6.7699999999999996E-2</v>
      </c>
      <c r="K98" s="205">
        <v>17065000</v>
      </c>
      <c r="L98" s="205">
        <v>7800000</v>
      </c>
      <c r="M98" s="204">
        <f t="shared" si="16"/>
        <v>2.187820512820513</v>
      </c>
    </row>
    <row r="99" spans="1:13" s="71" customFormat="1" ht="12.75" customHeight="1" outlineLevel="1" x14ac:dyDescent="0.2">
      <c r="A99" s="172"/>
      <c r="B99" s="172"/>
      <c r="C99" s="172"/>
      <c r="D99" s="175" t="s">
        <v>138</v>
      </c>
      <c r="E99" s="180">
        <v>50540</v>
      </c>
      <c r="F99" s="203">
        <v>7.4999999999999997E-2</v>
      </c>
      <c r="G99" s="203">
        <v>7.2800000000000004E-2</v>
      </c>
      <c r="H99" s="203">
        <v>7.4899999999999994E-2</v>
      </c>
      <c r="I99" s="197">
        <v>7.3399000000000006E-2</v>
      </c>
      <c r="J99" s="197">
        <v>7.3700000000000002E-2</v>
      </c>
      <c r="K99" s="205">
        <v>7195700</v>
      </c>
      <c r="L99" s="205">
        <v>3700000</v>
      </c>
      <c r="M99" s="204">
        <f t="shared" si="16"/>
        <v>1.9447837837837838</v>
      </c>
    </row>
    <row r="100" spans="1:13" s="71" customFormat="1" ht="12.75" customHeight="1" outlineLevel="1" x14ac:dyDescent="0.2">
      <c r="A100" s="172"/>
      <c r="B100" s="172"/>
      <c r="C100" s="172"/>
      <c r="D100" s="175" t="s">
        <v>175</v>
      </c>
      <c r="E100" s="180">
        <v>54193</v>
      </c>
      <c r="F100" s="203">
        <v>7.3749999999999996E-2</v>
      </c>
      <c r="G100" s="203">
        <v>7.3700000000000002E-2</v>
      </c>
      <c r="H100" s="203">
        <v>7.5999999999999998E-2</v>
      </c>
      <c r="I100" s="197">
        <v>7.3845099999999997E-2</v>
      </c>
      <c r="J100" s="197">
        <v>7.3899999999999993E-2</v>
      </c>
      <c r="K100" s="205">
        <v>977900</v>
      </c>
      <c r="L100" s="205">
        <v>550000</v>
      </c>
      <c r="M100" s="204">
        <f t="shared" si="16"/>
        <v>1.778</v>
      </c>
    </row>
    <row r="101" spans="1:13" s="71" customFormat="1" ht="12.75" customHeight="1" outlineLevel="1" x14ac:dyDescent="0.2">
      <c r="A101" s="252" t="s">
        <v>121</v>
      </c>
      <c r="B101" s="253"/>
      <c r="C101" s="253"/>
      <c r="D101" s="253"/>
      <c r="E101" s="253"/>
      <c r="F101" s="253"/>
      <c r="G101" s="253"/>
      <c r="H101" s="253"/>
      <c r="I101" s="253"/>
      <c r="J101" s="254"/>
      <c r="K101" s="206">
        <f>SUM(K95:K100)</f>
        <v>46474600</v>
      </c>
      <c r="L101" s="206">
        <f>SUM(L95:L100)</f>
        <v>23450000</v>
      </c>
      <c r="M101" s="185"/>
    </row>
    <row r="102" spans="1:13" s="71" customFormat="1" ht="12.75" customHeight="1" outlineLevel="1" x14ac:dyDescent="0.2">
      <c r="A102" s="231">
        <v>43153</v>
      </c>
      <c r="B102" s="231">
        <v>43180</v>
      </c>
      <c r="C102" s="232" t="s">
        <v>123</v>
      </c>
      <c r="D102" s="233" t="s">
        <v>176</v>
      </c>
      <c r="E102" s="234">
        <v>44265</v>
      </c>
      <c r="F102" s="235">
        <v>5.8999999999999997E-2</v>
      </c>
      <c r="G102" s="235"/>
      <c r="H102" s="235"/>
      <c r="I102" s="235"/>
      <c r="J102" s="235"/>
      <c r="K102" s="236">
        <v>8436570</v>
      </c>
      <c r="L102" s="236">
        <v>8436570</v>
      </c>
      <c r="M102" s="204">
        <f t="shared" ref="M102:M109" si="17">IF(L102=0,0,K102/L102)</f>
        <v>1</v>
      </c>
    </row>
    <row r="103" spans="1:13" s="71" customFormat="1" ht="12.75" customHeight="1" outlineLevel="1" x14ac:dyDescent="0.2">
      <c r="A103" s="252" t="s">
        <v>121</v>
      </c>
      <c r="B103" s="253"/>
      <c r="C103" s="253"/>
      <c r="D103" s="253"/>
      <c r="E103" s="253"/>
      <c r="F103" s="253"/>
      <c r="G103" s="253"/>
      <c r="H103" s="253"/>
      <c r="I103" s="253"/>
      <c r="J103" s="254"/>
      <c r="K103" s="236">
        <f>K102</f>
        <v>8436570</v>
      </c>
      <c r="L103" s="236">
        <f>L102</f>
        <v>8436570</v>
      </c>
      <c r="M103" s="185"/>
    </row>
    <row r="104" spans="1:13" s="71" customFormat="1" ht="12.75" customHeight="1" outlineLevel="1" x14ac:dyDescent="0.2">
      <c r="A104" s="196">
        <v>43179</v>
      </c>
      <c r="B104" s="180">
        <v>43181</v>
      </c>
      <c r="C104" s="190" t="s">
        <v>124</v>
      </c>
      <c r="D104" s="219" t="s">
        <v>171</v>
      </c>
      <c r="E104" s="180">
        <v>43350</v>
      </c>
      <c r="F104" s="203" t="s">
        <v>134</v>
      </c>
      <c r="G104" s="203">
        <v>4.2187500000000003E-2</v>
      </c>
      <c r="H104" s="203">
        <v>5.8749999999999997E-2</v>
      </c>
      <c r="I104" s="197">
        <v>4.2968800000000001E-2</v>
      </c>
      <c r="J104" s="220"/>
      <c r="K104" s="221">
        <v>4811000</v>
      </c>
      <c r="L104" s="222">
        <v>3000000</v>
      </c>
      <c r="M104" s="223">
        <f t="shared" si="17"/>
        <v>1.6036666666666666</v>
      </c>
    </row>
    <row r="105" spans="1:13" s="71" customFormat="1" ht="12.75" customHeight="1" outlineLevel="1" x14ac:dyDescent="0.2">
      <c r="A105" s="172"/>
      <c r="B105" s="172"/>
      <c r="C105" s="172"/>
      <c r="D105" s="219" t="s">
        <v>150</v>
      </c>
      <c r="E105" s="180">
        <v>43905</v>
      </c>
      <c r="F105" s="203">
        <v>6.25E-2</v>
      </c>
      <c r="G105" s="203">
        <v>5.9687499999999998E-2</v>
      </c>
      <c r="H105" s="203">
        <v>6.2812499999999993E-2</v>
      </c>
      <c r="I105" s="197">
        <v>6.0650200000000001E-2</v>
      </c>
      <c r="J105" s="197"/>
      <c r="K105" s="183">
        <v>4981000</v>
      </c>
      <c r="L105" s="205">
        <v>4630000</v>
      </c>
      <c r="M105" s="204">
        <f t="shared" si="17"/>
        <v>1.0758099352051835</v>
      </c>
    </row>
    <row r="106" spans="1:13" s="71" customFormat="1" ht="12.75" customHeight="1" outlineLevel="1" x14ac:dyDescent="0.2">
      <c r="A106" s="172"/>
      <c r="B106" s="172"/>
      <c r="C106" s="172"/>
      <c r="D106" s="219" t="s">
        <v>49</v>
      </c>
      <c r="E106" s="180">
        <v>44576</v>
      </c>
      <c r="F106" s="203">
        <v>5.45E-2</v>
      </c>
      <c r="G106" s="203">
        <v>6.3125000000000001E-2</v>
      </c>
      <c r="H106" s="203">
        <v>6.4062499999999994E-2</v>
      </c>
      <c r="I106" s="197">
        <v>6.3591099999999998E-2</v>
      </c>
      <c r="J106" s="197"/>
      <c r="K106" s="183">
        <v>682000</v>
      </c>
      <c r="L106" s="205">
        <v>502857</v>
      </c>
      <c r="M106" s="204">
        <f t="shared" si="17"/>
        <v>1.3562503852984049</v>
      </c>
    </row>
    <row r="107" spans="1:13" s="71" customFormat="1" ht="12.75" customHeight="1" outlineLevel="1" x14ac:dyDescent="0.2">
      <c r="A107" s="172"/>
      <c r="B107" s="172"/>
      <c r="C107" s="172"/>
      <c r="D107" s="219" t="s">
        <v>151</v>
      </c>
      <c r="E107" s="180">
        <v>45945</v>
      </c>
      <c r="F107" s="203">
        <v>6.1249999999999999E-2</v>
      </c>
      <c r="G107" s="203">
        <v>6.7812499999999998E-2</v>
      </c>
      <c r="H107" s="203">
        <v>7.0000000000000007E-2</v>
      </c>
      <c r="I107" s="197">
        <v>6.8182300000000001E-2</v>
      </c>
      <c r="J107" s="197"/>
      <c r="K107" s="183">
        <v>794500</v>
      </c>
      <c r="L107" s="205">
        <v>620000</v>
      </c>
      <c r="M107" s="204">
        <f t="shared" si="17"/>
        <v>1.2814516129032258</v>
      </c>
    </row>
    <row r="108" spans="1:13" s="71" customFormat="1" ht="12.75" customHeight="1" outlineLevel="1" x14ac:dyDescent="0.2">
      <c r="A108" s="172"/>
      <c r="B108" s="172"/>
      <c r="C108" s="172"/>
      <c r="D108" s="219" t="s">
        <v>152</v>
      </c>
      <c r="E108" s="180">
        <v>11642</v>
      </c>
      <c r="F108" s="203">
        <v>8.8749999999999996E-2</v>
      </c>
      <c r="G108" s="203">
        <v>7.3437500000000003E-2</v>
      </c>
      <c r="H108" s="203">
        <v>7.6562500000000006E-2</v>
      </c>
      <c r="I108" s="197" t="s">
        <v>137</v>
      </c>
      <c r="J108" s="197"/>
      <c r="K108" s="183">
        <v>988000</v>
      </c>
      <c r="L108" s="229">
        <v>0</v>
      </c>
      <c r="M108" s="230">
        <f t="shared" si="17"/>
        <v>0</v>
      </c>
    </row>
    <row r="109" spans="1:13" s="71" customFormat="1" ht="12.75" customHeight="1" outlineLevel="1" x14ac:dyDescent="0.2">
      <c r="A109" s="211"/>
      <c r="B109" s="211"/>
      <c r="C109" s="211"/>
      <c r="D109" s="224" t="s">
        <v>53</v>
      </c>
      <c r="E109" s="213">
        <v>13561</v>
      </c>
      <c r="F109" s="214">
        <v>6.0999999999999999E-2</v>
      </c>
      <c r="G109" s="214">
        <v>7.6874999999999999E-2</v>
      </c>
      <c r="H109" s="214">
        <v>7.8125E-2</v>
      </c>
      <c r="I109" s="197">
        <v>7.7095200000000003E-2</v>
      </c>
      <c r="J109" s="215"/>
      <c r="K109" s="216">
        <v>808000</v>
      </c>
      <c r="L109" s="226">
        <v>150000</v>
      </c>
      <c r="M109" s="227">
        <f t="shared" si="17"/>
        <v>5.3866666666666667</v>
      </c>
    </row>
    <row r="110" spans="1:13" s="71" customFormat="1" ht="12.75" customHeight="1" outlineLevel="1" x14ac:dyDescent="0.2">
      <c r="A110" s="252" t="s">
        <v>121</v>
      </c>
      <c r="B110" s="253"/>
      <c r="C110" s="253"/>
      <c r="D110" s="253"/>
      <c r="E110" s="253"/>
      <c r="F110" s="253"/>
      <c r="G110" s="253"/>
      <c r="H110" s="253"/>
      <c r="I110" s="253"/>
      <c r="J110" s="254"/>
      <c r="K110" s="206">
        <f>SUM(K104:K109)</f>
        <v>13064500</v>
      </c>
      <c r="L110" s="206">
        <f>SUM(L104:L109)</f>
        <v>8902857</v>
      </c>
      <c r="M110" s="185"/>
    </row>
    <row r="111" spans="1:13" s="71" customFormat="1" ht="12.75" customHeight="1" outlineLevel="1" x14ac:dyDescent="0.2">
      <c r="A111" s="196">
        <v>43186</v>
      </c>
      <c r="B111" s="196">
        <v>43188</v>
      </c>
      <c r="C111" s="196" t="s">
        <v>124</v>
      </c>
      <c r="D111" s="175" t="s">
        <v>177</v>
      </c>
      <c r="E111" s="180">
        <v>43279</v>
      </c>
      <c r="F111" s="203" t="s">
        <v>134</v>
      </c>
      <c r="G111" s="203">
        <v>3.9800000000000002E-2</v>
      </c>
      <c r="H111" s="197">
        <v>4.5499999999999999E-2</v>
      </c>
      <c r="I111" s="197">
        <v>4.1463199999999999E-2</v>
      </c>
      <c r="J111" s="197">
        <v>4.2000000000000003E-2</v>
      </c>
      <c r="K111" s="205">
        <v>7445000</v>
      </c>
      <c r="L111" s="205">
        <v>5000000</v>
      </c>
      <c r="M111" s="204">
        <f t="shared" ref="M111:M115" si="18">IF(L111=0,0,K111/L111)</f>
        <v>1.4890000000000001</v>
      </c>
    </row>
    <row r="112" spans="1:13" s="71" customFormat="1" ht="12.75" customHeight="1" outlineLevel="1" x14ac:dyDescent="0.2">
      <c r="A112" s="172"/>
      <c r="B112" s="172"/>
      <c r="C112" s="172"/>
      <c r="D112" s="175" t="s">
        <v>174</v>
      </c>
      <c r="E112" s="180">
        <v>43538</v>
      </c>
      <c r="F112" s="203" t="s">
        <v>134</v>
      </c>
      <c r="G112" s="203">
        <v>4.9799999999999997E-2</v>
      </c>
      <c r="H112" s="203">
        <v>5.5E-2</v>
      </c>
      <c r="I112" s="197">
        <v>5.0496300000000001E-2</v>
      </c>
      <c r="J112" s="197">
        <v>5.0999999999999997E-2</v>
      </c>
      <c r="K112" s="205">
        <v>6900000</v>
      </c>
      <c r="L112" s="205">
        <v>4050000</v>
      </c>
      <c r="M112" s="204">
        <f t="shared" si="18"/>
        <v>1.7037037037037037</v>
      </c>
    </row>
    <row r="113" spans="1:15" s="71" customFormat="1" ht="12.75" customHeight="1" outlineLevel="1" x14ac:dyDescent="0.2">
      <c r="A113" s="172"/>
      <c r="B113" s="172"/>
      <c r="C113" s="172"/>
      <c r="D113" s="175" t="s">
        <v>95</v>
      </c>
      <c r="E113" s="180">
        <v>46888</v>
      </c>
      <c r="F113" s="203">
        <v>6.1249999999999999E-2</v>
      </c>
      <c r="G113" s="203">
        <v>6.7699999999999996E-2</v>
      </c>
      <c r="H113" s="203">
        <v>7.0000000000000007E-2</v>
      </c>
      <c r="I113" s="197">
        <v>6.7899399999999999E-2</v>
      </c>
      <c r="J113" s="197">
        <v>6.8000000000000005E-2</v>
      </c>
      <c r="K113" s="205">
        <v>15280500</v>
      </c>
      <c r="L113" s="205">
        <v>8450000</v>
      </c>
      <c r="M113" s="204">
        <f t="shared" si="18"/>
        <v>1.8083431952662723</v>
      </c>
    </row>
    <row r="114" spans="1:15" s="71" customFormat="1" ht="12.75" customHeight="1" outlineLevel="1" x14ac:dyDescent="0.2">
      <c r="A114" s="172"/>
      <c r="B114" s="172"/>
      <c r="C114" s="172"/>
      <c r="D114" s="175" t="s">
        <v>98</v>
      </c>
      <c r="E114" s="180">
        <v>48714</v>
      </c>
      <c r="F114" s="203">
        <v>6.6250000000000003E-2</v>
      </c>
      <c r="G114" s="203">
        <v>6.9599999999999995E-2</v>
      </c>
      <c r="H114" s="203">
        <v>7.1300000000000002E-2</v>
      </c>
      <c r="I114" s="197" t="s">
        <v>137</v>
      </c>
      <c r="J114" s="197" t="s">
        <v>137</v>
      </c>
      <c r="K114" s="205">
        <v>1633000</v>
      </c>
      <c r="L114" s="205">
        <v>0</v>
      </c>
      <c r="M114" s="230">
        <f t="shared" si="18"/>
        <v>0</v>
      </c>
    </row>
    <row r="115" spans="1:15" s="71" customFormat="1" ht="12.75" customHeight="1" outlineLevel="1" x14ac:dyDescent="0.2">
      <c r="A115" s="172"/>
      <c r="B115" s="172"/>
      <c r="C115" s="172"/>
      <c r="D115" s="175" t="s">
        <v>138</v>
      </c>
      <c r="E115" s="180">
        <v>50540</v>
      </c>
      <c r="F115" s="203">
        <v>7.4999999999999997E-2</v>
      </c>
      <c r="G115" s="203">
        <v>7.3499999999999996E-2</v>
      </c>
      <c r="H115" s="203">
        <v>7.4999999999999997E-2</v>
      </c>
      <c r="I115" s="197">
        <v>7.3897099999999993E-2</v>
      </c>
      <c r="J115" s="197">
        <v>7.4200000000000002E-2</v>
      </c>
      <c r="K115" s="205">
        <v>4314200</v>
      </c>
      <c r="L115" s="205">
        <v>3200000</v>
      </c>
      <c r="M115" s="204">
        <f t="shared" si="18"/>
        <v>1.3481875000000001</v>
      </c>
    </row>
    <row r="116" spans="1:15" s="71" customFormat="1" ht="12.75" customHeight="1" outlineLevel="1" x14ac:dyDescent="0.2">
      <c r="A116" s="252" t="s">
        <v>121</v>
      </c>
      <c r="B116" s="253"/>
      <c r="C116" s="253"/>
      <c r="D116" s="253"/>
      <c r="E116" s="253"/>
      <c r="F116" s="253"/>
      <c r="G116" s="253"/>
      <c r="H116" s="253"/>
      <c r="I116" s="253"/>
      <c r="J116" s="254"/>
      <c r="K116" s="206">
        <f>SUM(K111:K115)</f>
        <v>35572700</v>
      </c>
      <c r="L116" s="206">
        <f>SUM(L111:L115)</f>
        <v>20700000</v>
      </c>
      <c r="M116" s="185"/>
    </row>
    <row r="117" spans="1:15" s="198" customFormat="1" ht="12.75" customHeight="1" x14ac:dyDescent="0.2">
      <c r="A117" s="255" t="s">
        <v>168</v>
      </c>
      <c r="B117" s="256"/>
      <c r="C117" s="256"/>
      <c r="D117" s="256"/>
      <c r="E117" s="256"/>
      <c r="F117" s="256"/>
      <c r="G117" s="256"/>
      <c r="H117" s="256"/>
      <c r="I117" s="256"/>
      <c r="J117" s="257"/>
      <c r="K117" s="202">
        <f>SUM(K80,K85,K92,K94,K101,K103,K110,K116)</f>
        <v>194882270</v>
      </c>
      <c r="L117" s="202">
        <f>SUM(L80,L85,L92,L94,L101,L103,L110,L116)</f>
        <v>131313427</v>
      </c>
      <c r="M117" s="201"/>
      <c r="O117" s="199"/>
    </row>
    <row r="118" spans="1:15" s="198" customFormat="1" ht="12.75" customHeight="1" x14ac:dyDescent="0.2">
      <c r="A118" s="255" t="s">
        <v>178</v>
      </c>
      <c r="B118" s="256"/>
      <c r="C118" s="256"/>
      <c r="D118" s="256"/>
      <c r="E118" s="256"/>
      <c r="F118" s="256"/>
      <c r="G118" s="256"/>
      <c r="H118" s="256"/>
      <c r="I118" s="256"/>
      <c r="J118" s="257"/>
      <c r="K118" s="202">
        <f>SUM(K74,K117)</f>
        <v>597811070</v>
      </c>
      <c r="L118" s="202">
        <f>SUM(L74,L117)</f>
        <v>318461427</v>
      </c>
      <c r="M118" s="201"/>
      <c r="N118" s="39"/>
    </row>
    <row r="119" spans="1:15" s="71" customFormat="1" ht="12.75" customHeight="1" outlineLevel="1" x14ac:dyDescent="0.2">
      <c r="A119" s="196">
        <v>43193</v>
      </c>
      <c r="B119" s="180">
        <v>43195</v>
      </c>
      <c r="C119" s="190" t="s">
        <v>124</v>
      </c>
      <c r="D119" s="219" t="s">
        <v>179</v>
      </c>
      <c r="E119" s="180">
        <v>43377</v>
      </c>
      <c r="F119" s="203" t="s">
        <v>134</v>
      </c>
      <c r="G119" s="203">
        <v>4.2500000000000003E-2</v>
      </c>
      <c r="H119" s="203">
        <v>5.5E-2</v>
      </c>
      <c r="I119" s="197">
        <v>4.29427E-2</v>
      </c>
      <c r="J119" s="220"/>
      <c r="K119" s="221">
        <v>4661000</v>
      </c>
      <c r="L119" s="222">
        <v>2400000</v>
      </c>
      <c r="M119" s="223">
        <f t="shared" ref="M119:M125" si="19">IF(L119=0,0,K119/L119)</f>
        <v>1.9420833333333334</v>
      </c>
    </row>
    <row r="120" spans="1:15" s="71" customFormat="1" ht="12.75" customHeight="1" outlineLevel="1" x14ac:dyDescent="0.2">
      <c r="A120" s="172"/>
      <c r="B120" s="172"/>
      <c r="C120" s="172"/>
      <c r="D120" s="219" t="s">
        <v>150</v>
      </c>
      <c r="E120" s="180">
        <v>43905</v>
      </c>
      <c r="F120" s="203">
        <v>6.25E-2</v>
      </c>
      <c r="G120" s="203">
        <v>0.06</v>
      </c>
      <c r="H120" s="203">
        <v>6.2812499999999993E-2</v>
      </c>
      <c r="I120" s="197">
        <v>6.0598199999999998E-2</v>
      </c>
      <c r="J120" s="197"/>
      <c r="K120" s="183">
        <v>3085000</v>
      </c>
      <c r="L120" s="205">
        <v>1560000</v>
      </c>
      <c r="M120" s="204">
        <f t="shared" si="19"/>
        <v>1.9775641025641026</v>
      </c>
    </row>
    <row r="121" spans="1:15" s="71" customFormat="1" ht="12.75" customHeight="1" outlineLevel="1" x14ac:dyDescent="0.2">
      <c r="A121" s="172"/>
      <c r="B121" s="172"/>
      <c r="C121" s="172"/>
      <c r="D121" s="219" t="s">
        <v>49</v>
      </c>
      <c r="E121" s="180">
        <v>44576</v>
      </c>
      <c r="F121" s="203">
        <v>5.45E-2</v>
      </c>
      <c r="G121" s="203">
        <v>6.3125000000000001E-2</v>
      </c>
      <c r="H121" s="203">
        <v>6.5000000000000002E-2</v>
      </c>
      <c r="I121" s="197">
        <v>6.3898399999999994E-2</v>
      </c>
      <c r="J121" s="197"/>
      <c r="K121" s="183">
        <v>605000</v>
      </c>
      <c r="L121" s="205">
        <v>600000</v>
      </c>
      <c r="M121" s="204">
        <f t="shared" si="19"/>
        <v>1.0083333333333333</v>
      </c>
      <c r="N121" s="186"/>
    </row>
    <row r="122" spans="1:15" s="71" customFormat="1" ht="12.75" customHeight="1" outlineLevel="1" x14ac:dyDescent="0.2">
      <c r="A122" s="172"/>
      <c r="B122" s="172"/>
      <c r="C122" s="172"/>
      <c r="D122" s="219" t="s">
        <v>151</v>
      </c>
      <c r="E122" s="180">
        <v>45945</v>
      </c>
      <c r="F122" s="203">
        <v>6.1249999999999999E-2</v>
      </c>
      <c r="G122" s="203">
        <v>6.7500000000000004E-2</v>
      </c>
      <c r="H122" s="203">
        <v>6.9062499999999999E-2</v>
      </c>
      <c r="I122" s="197" t="s">
        <v>137</v>
      </c>
      <c r="J122" s="197"/>
      <c r="K122" s="183">
        <v>83000</v>
      </c>
      <c r="L122" s="229">
        <v>0</v>
      </c>
      <c r="M122" s="230">
        <f t="shared" si="19"/>
        <v>0</v>
      </c>
      <c r="N122" s="186"/>
    </row>
    <row r="123" spans="1:15" s="71" customFormat="1" ht="12.75" customHeight="1" outlineLevel="1" x14ac:dyDescent="0.2">
      <c r="A123" s="172"/>
      <c r="B123" s="172"/>
      <c r="C123" s="172"/>
      <c r="D123" s="219" t="s">
        <v>152</v>
      </c>
      <c r="E123" s="180">
        <v>11642</v>
      </c>
      <c r="F123" s="203">
        <v>8.8749999999999996E-2</v>
      </c>
      <c r="G123" s="203">
        <v>7.3124999999999996E-2</v>
      </c>
      <c r="H123" s="203">
        <v>7.5312500000000004E-2</v>
      </c>
      <c r="I123" s="197">
        <v>7.3579900000000004E-2</v>
      </c>
      <c r="J123" s="197"/>
      <c r="K123" s="183">
        <v>857500</v>
      </c>
      <c r="L123" s="229">
        <v>690000</v>
      </c>
      <c r="M123" s="230">
        <f t="shared" si="19"/>
        <v>1.2427536231884058</v>
      </c>
    </row>
    <row r="124" spans="1:15" s="71" customFormat="1" ht="12.75" customHeight="1" outlineLevel="1" x14ac:dyDescent="0.2">
      <c r="A124" s="172"/>
      <c r="B124" s="172"/>
      <c r="C124" s="172"/>
      <c r="D124" s="219" t="s">
        <v>53</v>
      </c>
      <c r="E124" s="180">
        <v>13561</v>
      </c>
      <c r="F124" s="203">
        <v>6.0999999999999999E-2</v>
      </c>
      <c r="G124" s="203">
        <v>7.6249999999999998E-2</v>
      </c>
      <c r="H124" s="203">
        <v>7.7499999999999999E-2</v>
      </c>
      <c r="I124" s="197">
        <v>7.6668200000000006E-2</v>
      </c>
      <c r="J124" s="197"/>
      <c r="K124" s="183">
        <v>625800</v>
      </c>
      <c r="L124" s="229">
        <v>316857</v>
      </c>
      <c r="M124" s="230">
        <f t="shared" si="19"/>
        <v>1.9750234332837842</v>
      </c>
    </row>
    <row r="125" spans="1:15" s="71" customFormat="1" ht="12.75" customHeight="1" outlineLevel="1" x14ac:dyDescent="0.2">
      <c r="A125" s="211"/>
      <c r="B125" s="211"/>
      <c r="C125" s="211"/>
      <c r="D125" s="224" t="s">
        <v>165</v>
      </c>
      <c r="E125" s="213">
        <v>17363</v>
      </c>
      <c r="F125" s="214">
        <v>0.08</v>
      </c>
      <c r="G125" s="214">
        <v>7.7499999999999999E-2</v>
      </c>
      <c r="H125" s="214">
        <v>7.9062499999999994E-2</v>
      </c>
      <c r="I125" s="197">
        <v>7.8017299999999998E-2</v>
      </c>
      <c r="J125" s="215"/>
      <c r="K125" s="216">
        <v>1280000</v>
      </c>
      <c r="L125" s="226">
        <v>1220000</v>
      </c>
      <c r="M125" s="227">
        <f t="shared" si="19"/>
        <v>1.0491803278688525</v>
      </c>
    </row>
    <row r="126" spans="1:15" s="71" customFormat="1" ht="12.75" customHeight="1" outlineLevel="1" x14ac:dyDescent="0.2">
      <c r="A126" s="252" t="s">
        <v>121</v>
      </c>
      <c r="B126" s="253"/>
      <c r="C126" s="253"/>
      <c r="D126" s="253"/>
      <c r="E126" s="253"/>
      <c r="F126" s="253"/>
      <c r="G126" s="253"/>
      <c r="H126" s="253"/>
      <c r="I126" s="253"/>
      <c r="J126" s="254"/>
      <c r="K126" s="206">
        <f>SUM(K119:K125)</f>
        <v>11197300</v>
      </c>
      <c r="L126" s="206">
        <f>SUM(L119:L125)</f>
        <v>6786857</v>
      </c>
      <c r="M126" s="185"/>
    </row>
    <row r="127" spans="1:15" s="71" customFormat="1" ht="12.75" customHeight="1" outlineLevel="1" x14ac:dyDescent="0.2">
      <c r="A127" s="196">
        <v>43200</v>
      </c>
      <c r="B127" s="196">
        <v>43202</v>
      </c>
      <c r="C127" s="196" t="s">
        <v>124</v>
      </c>
      <c r="D127" s="175" t="s">
        <v>181</v>
      </c>
      <c r="E127" s="180">
        <v>43293</v>
      </c>
      <c r="F127" s="203" t="s">
        <v>134</v>
      </c>
      <c r="G127" s="203">
        <v>4.1500000000000002E-2</v>
      </c>
      <c r="H127" s="197">
        <v>0.05</v>
      </c>
      <c r="I127" s="197">
        <v>4.1899499999999999E-2</v>
      </c>
      <c r="J127" s="197">
        <v>4.2099999999999999E-2</v>
      </c>
      <c r="K127" s="205">
        <v>6230000</v>
      </c>
      <c r="L127" s="205">
        <v>4200000</v>
      </c>
      <c r="M127" s="204">
        <f t="shared" ref="M127:M131" si="20">IF(L127=0,0,K127/L127)</f>
        <v>1.4833333333333334</v>
      </c>
    </row>
    <row r="128" spans="1:15" s="71" customFormat="1" ht="12.75" customHeight="1" outlineLevel="1" x14ac:dyDescent="0.2">
      <c r="A128" s="172"/>
      <c r="B128" s="172"/>
      <c r="C128" s="172"/>
      <c r="D128" s="175" t="s">
        <v>182</v>
      </c>
      <c r="E128" s="180">
        <v>43566</v>
      </c>
      <c r="F128" s="203" t="s">
        <v>134</v>
      </c>
      <c r="G128" s="203">
        <v>5.0200000000000002E-2</v>
      </c>
      <c r="H128" s="197">
        <v>5.5E-2</v>
      </c>
      <c r="I128" s="197">
        <v>5.0698E-2</v>
      </c>
      <c r="J128" s="197">
        <v>5.1200000000000002E-2</v>
      </c>
      <c r="K128" s="205">
        <v>7650000</v>
      </c>
      <c r="L128" s="205">
        <v>4450000</v>
      </c>
      <c r="M128" s="204">
        <f t="shared" si="20"/>
        <v>1.7191011235955056</v>
      </c>
    </row>
    <row r="129" spans="1:14" s="71" customFormat="1" ht="12.75" customHeight="1" outlineLevel="1" x14ac:dyDescent="0.2">
      <c r="A129" s="172"/>
      <c r="B129" s="172"/>
      <c r="C129" s="172"/>
      <c r="D129" s="175" t="s">
        <v>94</v>
      </c>
      <c r="E129" s="180">
        <v>45061</v>
      </c>
      <c r="F129" s="203">
        <v>5.6250000000000001E-2</v>
      </c>
      <c r="G129" s="203">
        <v>5.8999999999999997E-2</v>
      </c>
      <c r="H129" s="203">
        <v>6.0499999999999998E-2</v>
      </c>
      <c r="I129" s="197">
        <v>5.9297799999999998E-2</v>
      </c>
      <c r="J129" s="197">
        <v>5.9799999999999999E-2</v>
      </c>
      <c r="K129" s="205">
        <v>8230000</v>
      </c>
      <c r="L129" s="205">
        <v>6500000</v>
      </c>
      <c r="M129" s="204">
        <f t="shared" si="20"/>
        <v>1.2661538461538462</v>
      </c>
    </row>
    <row r="130" spans="1:14" s="71" customFormat="1" ht="12.75" customHeight="1" outlineLevel="1" x14ac:dyDescent="0.2">
      <c r="A130" s="172"/>
      <c r="B130" s="172"/>
      <c r="C130" s="172"/>
      <c r="D130" s="175" t="s">
        <v>95</v>
      </c>
      <c r="E130" s="180">
        <v>46888</v>
      </c>
      <c r="F130" s="203">
        <v>6.1249999999999999E-2</v>
      </c>
      <c r="G130" s="203">
        <v>6.5500000000000003E-2</v>
      </c>
      <c r="H130" s="203">
        <v>6.7500000000000004E-2</v>
      </c>
      <c r="I130" s="197">
        <v>6.5898899999999996E-2</v>
      </c>
      <c r="J130" s="197">
        <v>6.6100000000000006E-2</v>
      </c>
      <c r="K130" s="205">
        <v>11132000</v>
      </c>
      <c r="L130" s="205">
        <v>3850000</v>
      </c>
      <c r="M130" s="204">
        <f t="shared" si="20"/>
        <v>2.8914285714285715</v>
      </c>
    </row>
    <row r="131" spans="1:14" s="71" customFormat="1" ht="12.75" customHeight="1" outlineLevel="1" x14ac:dyDescent="0.2">
      <c r="A131" s="172"/>
      <c r="B131" s="172"/>
      <c r="C131" s="172"/>
      <c r="D131" s="175" t="s">
        <v>98</v>
      </c>
      <c r="E131" s="180">
        <v>48714</v>
      </c>
      <c r="F131" s="203">
        <v>6.6250000000000003E-2</v>
      </c>
      <c r="G131" s="203">
        <v>6.7799999999999999E-2</v>
      </c>
      <c r="H131" s="203">
        <v>6.9199999999999998E-2</v>
      </c>
      <c r="I131" s="197">
        <v>6.8099499999999993E-2</v>
      </c>
      <c r="J131" s="197">
        <v>6.83E-2</v>
      </c>
      <c r="K131" s="205">
        <v>4478400</v>
      </c>
      <c r="L131" s="205">
        <v>2850000</v>
      </c>
      <c r="M131" s="204">
        <f t="shared" si="20"/>
        <v>1.5713684210526315</v>
      </c>
    </row>
    <row r="132" spans="1:14" s="71" customFormat="1" ht="12.75" customHeight="1" outlineLevel="1" x14ac:dyDescent="0.2">
      <c r="A132" s="252" t="s">
        <v>121</v>
      </c>
      <c r="B132" s="253"/>
      <c r="C132" s="253"/>
      <c r="D132" s="253"/>
      <c r="E132" s="253"/>
      <c r="F132" s="253"/>
      <c r="G132" s="253"/>
      <c r="H132" s="253"/>
      <c r="I132" s="253"/>
      <c r="J132" s="254"/>
      <c r="K132" s="206">
        <f>SUM(K127:K131)</f>
        <v>37720400</v>
      </c>
      <c r="L132" s="206">
        <f>SUM(L127:L131)</f>
        <v>21850000</v>
      </c>
      <c r="M132" s="185"/>
    </row>
    <row r="133" spans="1:14" s="71" customFormat="1" ht="12.75" customHeight="1" outlineLevel="1" x14ac:dyDescent="0.2">
      <c r="A133" s="196">
        <v>43207</v>
      </c>
      <c r="B133" s="180">
        <v>43209</v>
      </c>
      <c r="C133" s="190" t="s">
        <v>124</v>
      </c>
      <c r="D133" s="219" t="s">
        <v>179</v>
      </c>
      <c r="E133" s="180">
        <v>43377</v>
      </c>
      <c r="F133" s="203" t="s">
        <v>134</v>
      </c>
      <c r="G133" s="203">
        <v>4.2812500000000003E-2</v>
      </c>
      <c r="H133" s="203">
        <v>5.7500000000000002E-2</v>
      </c>
      <c r="I133" s="197">
        <v>4.3256299999999998E-2</v>
      </c>
      <c r="J133" s="220"/>
      <c r="K133" s="221">
        <v>4315500</v>
      </c>
      <c r="L133" s="222">
        <v>2100000</v>
      </c>
      <c r="M133" s="223">
        <f t="shared" ref="M133:M139" si="21">IF(L133=0,0,K133/L133)</f>
        <v>2.0550000000000002</v>
      </c>
    </row>
    <row r="134" spans="1:14" s="71" customFormat="1" ht="12.75" customHeight="1" outlineLevel="1" x14ac:dyDescent="0.2">
      <c r="A134" s="172"/>
      <c r="B134" s="172"/>
      <c r="C134" s="172"/>
      <c r="D134" s="219" t="s">
        <v>150</v>
      </c>
      <c r="E134" s="180">
        <v>43905</v>
      </c>
      <c r="F134" s="203">
        <v>6.25E-2</v>
      </c>
      <c r="G134" s="203">
        <v>6.0312499999999998E-2</v>
      </c>
      <c r="H134" s="203">
        <v>6.5000000000000002E-2</v>
      </c>
      <c r="I134" s="197">
        <v>6.1265300000000002E-2</v>
      </c>
      <c r="J134" s="197"/>
      <c r="K134" s="183">
        <v>2731000</v>
      </c>
      <c r="L134" s="205">
        <v>2710000</v>
      </c>
      <c r="M134" s="204">
        <f t="shared" si="21"/>
        <v>1.0077490774907749</v>
      </c>
    </row>
    <row r="135" spans="1:14" s="71" customFormat="1" ht="12.75" customHeight="1" outlineLevel="1" x14ac:dyDescent="0.2">
      <c r="A135" s="172"/>
      <c r="B135" s="172"/>
      <c r="C135" s="172"/>
      <c r="D135" s="219" t="s">
        <v>49</v>
      </c>
      <c r="E135" s="180">
        <v>44576</v>
      </c>
      <c r="F135" s="203">
        <v>5.45E-2</v>
      </c>
      <c r="G135" s="203">
        <v>6.3437499999999994E-2</v>
      </c>
      <c r="H135" s="203">
        <v>6.6250000000000003E-2</v>
      </c>
      <c r="I135" s="197">
        <v>6.4497399999999996E-2</v>
      </c>
      <c r="J135" s="197"/>
      <c r="K135" s="183">
        <v>845000</v>
      </c>
      <c r="L135" s="205">
        <v>605000</v>
      </c>
      <c r="M135" s="204">
        <f t="shared" si="21"/>
        <v>1.3966942148760331</v>
      </c>
      <c r="N135" s="186"/>
    </row>
    <row r="136" spans="1:14" s="71" customFormat="1" ht="12.75" customHeight="1" outlineLevel="1" x14ac:dyDescent="0.2">
      <c r="A136" s="172"/>
      <c r="B136" s="172"/>
      <c r="C136" s="172"/>
      <c r="D136" s="219" t="s">
        <v>151</v>
      </c>
      <c r="E136" s="180">
        <v>45945</v>
      </c>
      <c r="F136" s="203">
        <v>6.1249999999999999E-2</v>
      </c>
      <c r="G136" s="203">
        <v>6.7187499999999997E-2</v>
      </c>
      <c r="H136" s="203">
        <v>6.8125000000000005E-2</v>
      </c>
      <c r="I136" s="197" t="s">
        <v>137</v>
      </c>
      <c r="J136" s="197"/>
      <c r="K136" s="183">
        <v>25000</v>
      </c>
      <c r="L136" s="229">
        <v>0</v>
      </c>
      <c r="M136" s="230">
        <f t="shared" si="21"/>
        <v>0</v>
      </c>
      <c r="N136" s="186"/>
    </row>
    <row r="137" spans="1:14" s="71" customFormat="1" ht="12.75" customHeight="1" outlineLevel="1" x14ac:dyDescent="0.2">
      <c r="A137" s="172"/>
      <c r="B137" s="172"/>
      <c r="C137" s="172"/>
      <c r="D137" s="219" t="s">
        <v>152</v>
      </c>
      <c r="E137" s="180">
        <v>11642</v>
      </c>
      <c r="F137" s="203">
        <v>8.8749999999999996E-2</v>
      </c>
      <c r="G137" s="203">
        <v>7.3124999999999996E-2</v>
      </c>
      <c r="H137" s="203">
        <v>7.6874999999999999E-2</v>
      </c>
      <c r="I137" s="197">
        <v>7.4494400000000002E-2</v>
      </c>
      <c r="J137" s="197"/>
      <c r="K137" s="183">
        <v>500500</v>
      </c>
      <c r="L137" s="229">
        <v>410000</v>
      </c>
      <c r="M137" s="230">
        <f t="shared" si="21"/>
        <v>1.2207317073170731</v>
      </c>
    </row>
    <row r="138" spans="1:14" s="71" customFormat="1" ht="12.75" customHeight="1" outlineLevel="1" x14ac:dyDescent="0.2">
      <c r="A138" s="172"/>
      <c r="B138" s="172"/>
      <c r="C138" s="172"/>
      <c r="D138" s="219" t="s">
        <v>53</v>
      </c>
      <c r="E138" s="180">
        <v>13561</v>
      </c>
      <c r="F138" s="203">
        <v>6.0999999999999999E-2</v>
      </c>
      <c r="G138" s="203">
        <v>7.6249999999999998E-2</v>
      </c>
      <c r="H138" s="203">
        <v>7.7499999999999999E-2</v>
      </c>
      <c r="I138" s="197">
        <v>7.6518299999999997E-2</v>
      </c>
      <c r="J138" s="197"/>
      <c r="K138" s="183">
        <v>527000</v>
      </c>
      <c r="L138" s="229">
        <v>527000</v>
      </c>
      <c r="M138" s="230">
        <f t="shared" si="21"/>
        <v>1</v>
      </c>
    </row>
    <row r="139" spans="1:14" s="71" customFormat="1" ht="12.75" customHeight="1" outlineLevel="1" x14ac:dyDescent="0.2">
      <c r="A139" s="211"/>
      <c r="B139" s="211"/>
      <c r="C139" s="211"/>
      <c r="D139" s="224" t="s">
        <v>165</v>
      </c>
      <c r="E139" s="213">
        <v>17363</v>
      </c>
      <c r="F139" s="214">
        <v>0.08</v>
      </c>
      <c r="G139" s="214">
        <v>7.7812500000000007E-2</v>
      </c>
      <c r="H139" s="214">
        <v>7.9375000000000001E-2</v>
      </c>
      <c r="I139" s="237" t="s">
        <v>137</v>
      </c>
      <c r="J139" s="215"/>
      <c r="K139" s="216">
        <v>1242000</v>
      </c>
      <c r="L139" s="238">
        <v>0</v>
      </c>
      <c r="M139" s="239">
        <f t="shared" si="21"/>
        <v>0</v>
      </c>
    </row>
    <row r="140" spans="1:14" s="71" customFormat="1" ht="12.75" customHeight="1" outlineLevel="1" x14ac:dyDescent="0.2">
      <c r="A140" s="252" t="s">
        <v>121</v>
      </c>
      <c r="B140" s="253"/>
      <c r="C140" s="253"/>
      <c r="D140" s="253"/>
      <c r="E140" s="253"/>
      <c r="F140" s="253"/>
      <c r="G140" s="253"/>
      <c r="H140" s="253"/>
      <c r="I140" s="253"/>
      <c r="J140" s="254"/>
      <c r="K140" s="206">
        <f>SUM(K133:K139)</f>
        <v>10186000</v>
      </c>
      <c r="L140" s="206">
        <f>SUM(L133:L139)</f>
        <v>6352000</v>
      </c>
      <c r="M140" s="185"/>
    </row>
    <row r="141" spans="1:14" s="71" customFormat="1" ht="12.75" customHeight="1" outlineLevel="1" x14ac:dyDescent="0.2">
      <c r="A141" s="196">
        <v>43207</v>
      </c>
      <c r="B141" s="196">
        <v>43214</v>
      </c>
      <c r="C141" s="192" t="s">
        <v>123</v>
      </c>
      <c r="D141" s="175" t="s">
        <v>184</v>
      </c>
      <c r="E141" s="180">
        <v>45771</v>
      </c>
      <c r="F141" s="203">
        <v>1.7500000000000002E-2</v>
      </c>
      <c r="G141" s="203"/>
      <c r="H141" s="197"/>
      <c r="I141" s="203">
        <v>1.7500000000000002E-2</v>
      </c>
      <c r="J141" s="197"/>
      <c r="K141" s="189" t="s">
        <v>186</v>
      </c>
      <c r="L141" s="189" t="s">
        <v>186</v>
      </c>
      <c r="M141" s="229"/>
    </row>
    <row r="142" spans="1:14" s="71" customFormat="1" ht="12.75" customHeight="1" outlineLevel="1" x14ac:dyDescent="0.2">
      <c r="A142" s="196"/>
      <c r="B142" s="196"/>
      <c r="C142" s="192"/>
      <c r="D142" s="175"/>
      <c r="E142" s="180"/>
      <c r="F142" s="203"/>
      <c r="G142" s="203"/>
      <c r="H142" s="197"/>
      <c r="I142" s="203"/>
      <c r="J142" s="197"/>
      <c r="K142" s="200">
        <f>1000*16969.82</f>
        <v>16969820</v>
      </c>
      <c r="L142" s="200">
        <f>1000*16969.82</f>
        <v>16969820</v>
      </c>
      <c r="M142" s="204">
        <f t="shared" ref="M142:M150" si="22">IF(L142=0,0,K142/L142)</f>
        <v>1</v>
      </c>
    </row>
    <row r="143" spans="1:14" s="71" customFormat="1" ht="12.75" customHeight="1" outlineLevel="1" x14ac:dyDescent="0.2">
      <c r="A143" s="172"/>
      <c r="B143" s="172"/>
      <c r="C143" s="172"/>
      <c r="D143" s="175" t="s">
        <v>185</v>
      </c>
      <c r="E143" s="180">
        <v>46867</v>
      </c>
      <c r="F143" s="203">
        <v>4.1000000000000002E-2</v>
      </c>
      <c r="G143" s="203"/>
      <c r="H143" s="197"/>
      <c r="I143" s="203">
        <v>4.1000000000000002E-2</v>
      </c>
      <c r="J143" s="197"/>
      <c r="K143" s="189" t="s">
        <v>136</v>
      </c>
      <c r="L143" s="189" t="s">
        <v>136</v>
      </c>
      <c r="M143" s="229"/>
    </row>
    <row r="144" spans="1:14" s="71" customFormat="1" ht="12.75" customHeight="1" outlineLevel="1" x14ac:dyDescent="0.2">
      <c r="A144" s="172"/>
      <c r="B144" s="172"/>
      <c r="C144" s="172"/>
      <c r="D144" s="175"/>
      <c r="E144" s="180"/>
      <c r="F144" s="203"/>
      <c r="G144" s="203"/>
      <c r="H144" s="197"/>
      <c r="I144" s="203"/>
      <c r="J144" s="197"/>
      <c r="K144" s="200">
        <f>1000*13900</f>
        <v>13900000</v>
      </c>
      <c r="L144" s="200">
        <f>1000*13900</f>
        <v>13900000</v>
      </c>
      <c r="M144" s="204">
        <f t="shared" si="22"/>
        <v>1</v>
      </c>
    </row>
    <row r="145" spans="1:15" s="71" customFormat="1" ht="12.75" customHeight="1" outlineLevel="1" x14ac:dyDescent="0.2">
      <c r="A145" s="252" t="s">
        <v>121</v>
      </c>
      <c r="B145" s="253"/>
      <c r="C145" s="253"/>
      <c r="D145" s="253"/>
      <c r="E145" s="253"/>
      <c r="F145" s="253"/>
      <c r="G145" s="253"/>
      <c r="H145" s="253"/>
      <c r="I145" s="253"/>
      <c r="J145" s="254"/>
      <c r="K145" s="206">
        <f>K142+K144</f>
        <v>30869820</v>
      </c>
      <c r="L145" s="206">
        <f>L142+L144</f>
        <v>30869820</v>
      </c>
      <c r="M145" s="185"/>
    </row>
    <row r="146" spans="1:15" s="71" customFormat="1" ht="12.75" customHeight="1" outlineLevel="1" x14ac:dyDescent="0.2">
      <c r="A146" s="196">
        <v>43214</v>
      </c>
      <c r="B146" s="196">
        <v>43216</v>
      </c>
      <c r="C146" s="196" t="s">
        <v>124</v>
      </c>
      <c r="D146" s="175" t="s">
        <v>183</v>
      </c>
      <c r="E146" s="180">
        <v>43306</v>
      </c>
      <c r="F146" s="203" t="s">
        <v>134</v>
      </c>
      <c r="G146" s="203">
        <v>4.3499999999999997E-2</v>
      </c>
      <c r="H146" s="197">
        <v>4.7E-2</v>
      </c>
      <c r="I146" s="197" t="s">
        <v>137</v>
      </c>
      <c r="J146" s="197" t="s">
        <v>137</v>
      </c>
      <c r="K146" s="205">
        <v>2750000</v>
      </c>
      <c r="L146" s="229">
        <v>0</v>
      </c>
      <c r="M146" s="241">
        <f t="shared" si="22"/>
        <v>0</v>
      </c>
    </row>
    <row r="147" spans="1:15" s="71" customFormat="1" ht="12.75" customHeight="1" outlineLevel="1" x14ac:dyDescent="0.2">
      <c r="A147" s="172"/>
      <c r="B147" s="172"/>
      <c r="C147" s="172"/>
      <c r="D147" s="175" t="s">
        <v>157</v>
      </c>
      <c r="E147" s="180">
        <v>43496</v>
      </c>
      <c r="F147" s="203" t="s">
        <v>134</v>
      </c>
      <c r="G147" s="203">
        <v>5.2499999999999998E-2</v>
      </c>
      <c r="H147" s="197">
        <v>6.1499999999999999E-2</v>
      </c>
      <c r="I147" s="197" t="s">
        <v>137</v>
      </c>
      <c r="J147" s="197" t="s">
        <v>137</v>
      </c>
      <c r="K147" s="205">
        <v>3150000</v>
      </c>
      <c r="L147" s="229">
        <v>0</v>
      </c>
      <c r="M147" s="241">
        <f t="shared" si="22"/>
        <v>0</v>
      </c>
    </row>
    <row r="148" spans="1:15" s="71" customFormat="1" ht="12.75" customHeight="1" outlineLevel="1" x14ac:dyDescent="0.2">
      <c r="A148" s="172"/>
      <c r="B148" s="172"/>
      <c r="C148" s="172"/>
      <c r="D148" s="175" t="s">
        <v>94</v>
      </c>
      <c r="E148" s="180">
        <v>45061</v>
      </c>
      <c r="F148" s="203">
        <v>5.6250000000000001E-2</v>
      </c>
      <c r="G148" s="203">
        <v>6.2799999999999995E-2</v>
      </c>
      <c r="H148" s="203">
        <v>6.4299999999999996E-2</v>
      </c>
      <c r="I148" s="197" t="s">
        <v>137</v>
      </c>
      <c r="J148" s="197" t="s">
        <v>137</v>
      </c>
      <c r="K148" s="205">
        <v>1351000</v>
      </c>
      <c r="L148" s="229">
        <v>0</v>
      </c>
      <c r="M148" s="241">
        <f t="shared" si="22"/>
        <v>0</v>
      </c>
    </row>
    <row r="149" spans="1:15" s="71" customFormat="1" ht="12.75" customHeight="1" outlineLevel="1" x14ac:dyDescent="0.2">
      <c r="A149" s="172"/>
      <c r="B149" s="172"/>
      <c r="C149" s="172"/>
      <c r="D149" s="175" t="s">
        <v>95</v>
      </c>
      <c r="E149" s="180">
        <v>46888</v>
      </c>
      <c r="F149" s="203">
        <v>6.1249999999999999E-2</v>
      </c>
      <c r="G149" s="203">
        <v>6.8699999999999997E-2</v>
      </c>
      <c r="H149" s="203">
        <v>7.0199999999999999E-2</v>
      </c>
      <c r="I149" s="197">
        <v>6.9199300000000005E-2</v>
      </c>
      <c r="J149" s="197">
        <v>6.9400000000000003E-2</v>
      </c>
      <c r="K149" s="205">
        <v>6171500</v>
      </c>
      <c r="L149" s="205">
        <v>3950000</v>
      </c>
      <c r="M149" s="204">
        <f t="shared" si="22"/>
        <v>1.5624050632911393</v>
      </c>
    </row>
    <row r="150" spans="1:15" s="71" customFormat="1" ht="12.75" customHeight="1" outlineLevel="1" x14ac:dyDescent="0.2">
      <c r="A150" s="172"/>
      <c r="B150" s="172"/>
      <c r="C150" s="172"/>
      <c r="D150" s="175" t="s">
        <v>138</v>
      </c>
      <c r="E150" s="180">
        <v>50540</v>
      </c>
      <c r="F150" s="203">
        <v>7.4999999999999997E-2</v>
      </c>
      <c r="G150" s="203">
        <v>7.4099999999999999E-2</v>
      </c>
      <c r="H150" s="203">
        <v>7.6499999999999999E-2</v>
      </c>
      <c r="I150" s="197">
        <v>7.4694999999999998E-2</v>
      </c>
      <c r="J150" s="197">
        <v>7.4899999999999994E-2</v>
      </c>
      <c r="K150" s="205">
        <v>3598000</v>
      </c>
      <c r="L150" s="205">
        <v>2200000</v>
      </c>
      <c r="M150" s="204">
        <f t="shared" si="22"/>
        <v>1.6354545454545455</v>
      </c>
    </row>
    <row r="151" spans="1:15" s="71" customFormat="1" ht="12.75" customHeight="1" outlineLevel="1" x14ac:dyDescent="0.2">
      <c r="A151" s="252" t="s">
        <v>121</v>
      </c>
      <c r="B151" s="253"/>
      <c r="C151" s="253"/>
      <c r="D151" s="253"/>
      <c r="E151" s="253"/>
      <c r="F151" s="253"/>
      <c r="G151" s="253"/>
      <c r="H151" s="253"/>
      <c r="I151" s="253"/>
      <c r="J151" s="254"/>
      <c r="K151" s="206">
        <f>SUM(K146:K150)</f>
        <v>17020500</v>
      </c>
      <c r="L151" s="206">
        <f>SUM(L146:L150)</f>
        <v>6150000</v>
      </c>
      <c r="M151" s="185"/>
    </row>
    <row r="152" spans="1:15" s="198" customFormat="1" ht="12.75" customHeight="1" x14ac:dyDescent="0.2">
      <c r="A152" s="255" t="s">
        <v>180</v>
      </c>
      <c r="B152" s="256"/>
      <c r="C152" s="256"/>
      <c r="D152" s="256"/>
      <c r="E152" s="256"/>
      <c r="F152" s="256"/>
      <c r="G152" s="256"/>
      <c r="H152" s="256"/>
      <c r="I152" s="256"/>
      <c r="J152" s="257"/>
      <c r="K152" s="202">
        <f>K126+K132+K140+K145+K151</f>
        <v>106994020</v>
      </c>
      <c r="L152" s="202">
        <f>L126+L132+L140+L145+L151</f>
        <v>72008677</v>
      </c>
      <c r="M152" s="201"/>
      <c r="O152" s="199"/>
    </row>
    <row r="153" spans="1:15" s="198" customFormat="1" ht="12.75" customHeight="1" x14ac:dyDescent="0.2">
      <c r="A153" s="255" t="s">
        <v>191</v>
      </c>
      <c r="B153" s="256"/>
      <c r="C153" s="256"/>
      <c r="D153" s="256"/>
      <c r="E153" s="256"/>
      <c r="F153" s="256"/>
      <c r="G153" s="256"/>
      <c r="H153" s="256"/>
      <c r="I153" s="256"/>
      <c r="J153" s="257"/>
      <c r="K153" s="202">
        <f>SUM(K74,K117,K152)</f>
        <v>704805090</v>
      </c>
      <c r="L153" s="202">
        <f>SUM(L74,L117,L152)</f>
        <v>390470104</v>
      </c>
      <c r="M153" s="201"/>
      <c r="N153" s="39"/>
    </row>
    <row r="154" spans="1:15" s="71" customFormat="1" ht="12.75" customHeight="1" outlineLevel="1" x14ac:dyDescent="0.2">
      <c r="A154" s="196">
        <v>43222</v>
      </c>
      <c r="B154" s="180">
        <v>43224</v>
      </c>
      <c r="C154" s="190" t="s">
        <v>124</v>
      </c>
      <c r="D154" s="219" t="s">
        <v>188</v>
      </c>
      <c r="E154" s="180">
        <v>43407</v>
      </c>
      <c r="F154" s="203" t="s">
        <v>134</v>
      </c>
      <c r="G154" s="203">
        <v>4.3437499999999997E-2</v>
      </c>
      <c r="H154" s="203">
        <v>5.5937500000000001E-2</v>
      </c>
      <c r="I154" s="197">
        <v>4.4038500000000001E-2</v>
      </c>
      <c r="J154" s="220"/>
      <c r="K154" s="221">
        <v>3435000</v>
      </c>
      <c r="L154" s="222">
        <v>650000</v>
      </c>
      <c r="M154" s="223">
        <f t="shared" ref="M154:M157" si="23">IF(L154=0,0,K154/L154)</f>
        <v>5.2846153846153845</v>
      </c>
    </row>
    <row r="155" spans="1:15" s="71" customFormat="1" ht="12.75" customHeight="1" outlineLevel="1" x14ac:dyDescent="0.2">
      <c r="A155" s="172"/>
      <c r="B155" s="172"/>
      <c r="C155" s="172"/>
      <c r="D155" s="219" t="s">
        <v>150</v>
      </c>
      <c r="E155" s="180">
        <v>43905</v>
      </c>
      <c r="F155" s="203">
        <v>6.25E-2</v>
      </c>
      <c r="G155" s="203">
        <v>6.1874999999999999E-2</v>
      </c>
      <c r="H155" s="203">
        <v>7.03125E-2</v>
      </c>
      <c r="I155" s="197">
        <v>6.2123499999999998E-2</v>
      </c>
      <c r="J155" s="197"/>
      <c r="K155" s="183">
        <v>841000</v>
      </c>
      <c r="L155" s="205">
        <v>250000</v>
      </c>
      <c r="M155" s="204">
        <f t="shared" si="23"/>
        <v>3.3639999999999999</v>
      </c>
    </row>
    <row r="156" spans="1:15" s="71" customFormat="1" ht="12.75" customHeight="1" outlineLevel="1" x14ac:dyDescent="0.2">
      <c r="A156" s="172"/>
      <c r="B156" s="172"/>
      <c r="C156" s="172"/>
      <c r="D156" s="219" t="s">
        <v>49</v>
      </c>
      <c r="E156" s="180">
        <v>44576</v>
      </c>
      <c r="F156" s="203">
        <v>5.45E-2</v>
      </c>
      <c r="G156" s="203">
        <v>6.5312499999999996E-2</v>
      </c>
      <c r="H156" s="203">
        <v>6.9687499999999999E-2</v>
      </c>
      <c r="I156" s="197">
        <v>6.5925999999999998E-2</v>
      </c>
      <c r="J156" s="197"/>
      <c r="K156" s="183">
        <v>685000</v>
      </c>
      <c r="L156" s="205">
        <v>380000</v>
      </c>
      <c r="M156" s="204">
        <f t="shared" si="23"/>
        <v>1.8026315789473684</v>
      </c>
      <c r="N156" s="186"/>
    </row>
    <row r="157" spans="1:15" s="71" customFormat="1" ht="12.75" customHeight="1" outlineLevel="1" x14ac:dyDescent="0.2">
      <c r="A157" s="172"/>
      <c r="B157" s="172"/>
      <c r="C157" s="172"/>
      <c r="D157" s="219" t="s">
        <v>151</v>
      </c>
      <c r="E157" s="180">
        <v>45945</v>
      </c>
      <c r="F157" s="203">
        <v>6.1249999999999999E-2</v>
      </c>
      <c r="G157" s="203">
        <v>6.9687499999999999E-2</v>
      </c>
      <c r="H157" s="203">
        <v>7.7499999999999999E-2</v>
      </c>
      <c r="I157" s="197">
        <v>7.1991799999999995E-2</v>
      </c>
      <c r="J157" s="197"/>
      <c r="K157" s="183">
        <v>112000</v>
      </c>
      <c r="L157" s="229">
        <v>100000</v>
      </c>
      <c r="M157" s="204">
        <f t="shared" si="23"/>
        <v>1.1200000000000001</v>
      </c>
      <c r="N157" s="186"/>
    </row>
    <row r="158" spans="1:15" s="71" customFormat="1" ht="12.75" customHeight="1" outlineLevel="1" x14ac:dyDescent="0.2">
      <c r="A158" s="172"/>
      <c r="B158" s="172"/>
      <c r="C158" s="172"/>
      <c r="D158" s="219" t="s">
        <v>152</v>
      </c>
      <c r="E158" s="180">
        <v>11642</v>
      </c>
      <c r="F158" s="203">
        <v>8.8749999999999996E-2</v>
      </c>
      <c r="G158" s="203">
        <v>7.4999999999999997E-2</v>
      </c>
      <c r="H158" s="203">
        <v>7.6562500000000006E-2</v>
      </c>
      <c r="I158" s="197" t="s">
        <v>137</v>
      </c>
      <c r="J158" s="197"/>
      <c r="K158" s="183">
        <v>111000</v>
      </c>
      <c r="L158" s="229">
        <v>0</v>
      </c>
      <c r="M158" s="204">
        <f t="shared" ref="M158:M160" si="24">IF(L158=0,0,K158/L158)</f>
        <v>0</v>
      </c>
    </row>
    <row r="159" spans="1:15" s="71" customFormat="1" ht="12.75" customHeight="1" outlineLevel="1" x14ac:dyDescent="0.2">
      <c r="A159" s="172"/>
      <c r="B159" s="172"/>
      <c r="C159" s="172"/>
      <c r="D159" s="219" t="s">
        <v>53</v>
      </c>
      <c r="E159" s="180">
        <v>13561</v>
      </c>
      <c r="F159" s="203">
        <v>6.0999999999999999E-2</v>
      </c>
      <c r="G159" s="203">
        <v>7.7812500000000007E-2</v>
      </c>
      <c r="H159" s="203">
        <v>7.8750000000000001E-2</v>
      </c>
      <c r="I159" s="197" t="s">
        <v>137</v>
      </c>
      <c r="J159" s="197"/>
      <c r="K159" s="183">
        <v>63000</v>
      </c>
      <c r="L159" s="229">
        <v>0</v>
      </c>
      <c r="M159" s="204">
        <f t="shared" si="24"/>
        <v>0</v>
      </c>
    </row>
    <row r="160" spans="1:15" s="71" customFormat="1" ht="12.75" customHeight="1" outlineLevel="1" x14ac:dyDescent="0.2">
      <c r="A160" s="211"/>
      <c r="B160" s="211"/>
      <c r="C160" s="211"/>
      <c r="D160" s="224" t="s">
        <v>165</v>
      </c>
      <c r="E160" s="213">
        <v>17363</v>
      </c>
      <c r="F160" s="214">
        <v>0.08</v>
      </c>
      <c r="G160" s="214">
        <v>7.8437499999999993E-2</v>
      </c>
      <c r="H160" s="214">
        <v>8.2500000000000004E-2</v>
      </c>
      <c r="I160" s="237" t="s">
        <v>137</v>
      </c>
      <c r="J160" s="215"/>
      <c r="K160" s="216">
        <v>283000</v>
      </c>
      <c r="L160" s="229">
        <v>0</v>
      </c>
      <c r="M160" s="229">
        <f t="shared" si="24"/>
        <v>0</v>
      </c>
    </row>
    <row r="161" spans="1:14" s="71" customFormat="1" ht="12.75" customHeight="1" outlineLevel="1" x14ac:dyDescent="0.2">
      <c r="A161" s="252" t="s">
        <v>121</v>
      </c>
      <c r="B161" s="253"/>
      <c r="C161" s="253"/>
      <c r="D161" s="253"/>
      <c r="E161" s="253"/>
      <c r="F161" s="253"/>
      <c r="G161" s="253"/>
      <c r="H161" s="253"/>
      <c r="I161" s="253"/>
      <c r="J161" s="254"/>
      <c r="K161" s="206">
        <f>SUM(K154:K160)</f>
        <v>5530000</v>
      </c>
      <c r="L161" s="206">
        <f>SUM(L154:L160)</f>
        <v>1380000</v>
      </c>
      <c r="M161" s="185"/>
    </row>
    <row r="162" spans="1:14" s="71" customFormat="1" ht="12.75" customHeight="1" outlineLevel="1" x14ac:dyDescent="0.2">
      <c r="A162" s="196">
        <v>43228</v>
      </c>
      <c r="B162" s="196">
        <v>43231</v>
      </c>
      <c r="C162" s="196" t="s">
        <v>124</v>
      </c>
      <c r="D162" s="175" t="s">
        <v>189</v>
      </c>
      <c r="E162" s="180">
        <v>43321</v>
      </c>
      <c r="F162" s="203" t="s">
        <v>134</v>
      </c>
      <c r="G162" s="203">
        <v>5.0500000000000003E-2</v>
      </c>
      <c r="H162" s="197">
        <v>5.5500000000000001E-2</v>
      </c>
      <c r="I162" s="197" t="s">
        <v>137</v>
      </c>
      <c r="J162" s="197" t="s">
        <v>137</v>
      </c>
      <c r="K162" s="205">
        <v>2200000</v>
      </c>
      <c r="L162" s="240">
        <v>0</v>
      </c>
      <c r="M162" s="240">
        <f t="shared" ref="M162:M166" si="25">IF(L162=0,0,K162/L162)</f>
        <v>0</v>
      </c>
    </row>
    <row r="163" spans="1:14" s="71" customFormat="1" ht="12.75" customHeight="1" outlineLevel="1" x14ac:dyDescent="0.2">
      <c r="A163" s="172"/>
      <c r="B163" s="172"/>
      <c r="C163" s="172"/>
      <c r="D163" s="175" t="s">
        <v>190</v>
      </c>
      <c r="E163" s="180">
        <v>43595</v>
      </c>
      <c r="F163" s="203" t="s">
        <v>134</v>
      </c>
      <c r="G163" s="203">
        <v>0.06</v>
      </c>
      <c r="H163" s="197">
        <v>7.0000000000000007E-2</v>
      </c>
      <c r="I163" s="197" t="s">
        <v>137</v>
      </c>
      <c r="J163" s="197" t="s">
        <v>137</v>
      </c>
      <c r="K163" s="205">
        <v>2301000</v>
      </c>
      <c r="L163" s="240">
        <v>0</v>
      </c>
      <c r="M163" s="240">
        <f t="shared" si="25"/>
        <v>0</v>
      </c>
    </row>
    <row r="164" spans="1:14" s="71" customFormat="1" ht="12.75" customHeight="1" outlineLevel="1" x14ac:dyDescent="0.2">
      <c r="A164" s="172"/>
      <c r="B164" s="172"/>
      <c r="C164" s="172"/>
      <c r="D164" s="175" t="s">
        <v>94</v>
      </c>
      <c r="E164" s="180">
        <v>45061</v>
      </c>
      <c r="F164" s="203">
        <v>5.6250000000000001E-2</v>
      </c>
      <c r="G164" s="203">
        <v>6.8000000000000005E-2</v>
      </c>
      <c r="H164" s="203">
        <v>7.6999999999999999E-2</v>
      </c>
      <c r="I164" s="197" t="s">
        <v>137</v>
      </c>
      <c r="J164" s="197" t="s">
        <v>137</v>
      </c>
      <c r="K164" s="205">
        <v>2062000</v>
      </c>
      <c r="L164" s="240">
        <v>0</v>
      </c>
      <c r="M164" s="240">
        <f t="shared" si="25"/>
        <v>0</v>
      </c>
    </row>
    <row r="165" spans="1:14" s="71" customFormat="1" ht="12.75" customHeight="1" outlineLevel="1" x14ac:dyDescent="0.2">
      <c r="A165" s="172"/>
      <c r="B165" s="172"/>
      <c r="C165" s="172"/>
      <c r="D165" s="175" t="s">
        <v>98</v>
      </c>
      <c r="E165" s="180">
        <v>48714</v>
      </c>
      <c r="F165" s="203">
        <v>6.6250000000000003E-2</v>
      </c>
      <c r="G165" s="203">
        <v>7.4300000000000005E-2</v>
      </c>
      <c r="H165" s="203">
        <v>7.5999999999999998E-2</v>
      </c>
      <c r="I165" s="197" t="s">
        <v>137</v>
      </c>
      <c r="J165" s="197" t="s">
        <v>137</v>
      </c>
      <c r="K165" s="205">
        <v>208000</v>
      </c>
      <c r="L165" s="240">
        <v>0</v>
      </c>
      <c r="M165" s="240">
        <f t="shared" si="25"/>
        <v>0</v>
      </c>
    </row>
    <row r="166" spans="1:14" s="71" customFormat="1" ht="12.75" customHeight="1" outlineLevel="1" x14ac:dyDescent="0.2">
      <c r="A166" s="172"/>
      <c r="B166" s="172"/>
      <c r="C166" s="172"/>
      <c r="D166" s="175" t="s">
        <v>138</v>
      </c>
      <c r="E166" s="180">
        <v>50540</v>
      </c>
      <c r="F166" s="203">
        <v>7.4999999999999997E-2</v>
      </c>
      <c r="G166" s="203">
        <v>7.6999999999999999E-2</v>
      </c>
      <c r="H166" s="203">
        <v>7.9500000000000001E-2</v>
      </c>
      <c r="I166" s="197" t="s">
        <v>137</v>
      </c>
      <c r="J166" s="197" t="s">
        <v>137</v>
      </c>
      <c r="K166" s="205">
        <v>415100</v>
      </c>
      <c r="L166" s="240">
        <v>0</v>
      </c>
      <c r="M166" s="240">
        <f t="shared" si="25"/>
        <v>0</v>
      </c>
    </row>
    <row r="167" spans="1:14" s="71" customFormat="1" ht="12.75" customHeight="1" outlineLevel="1" x14ac:dyDescent="0.2">
      <c r="A167" s="252" t="s">
        <v>121</v>
      </c>
      <c r="B167" s="253"/>
      <c r="C167" s="253"/>
      <c r="D167" s="253"/>
      <c r="E167" s="253"/>
      <c r="F167" s="253"/>
      <c r="G167" s="253"/>
      <c r="H167" s="253"/>
      <c r="I167" s="253"/>
      <c r="J167" s="254"/>
      <c r="K167" s="206">
        <f>SUM(K162:K166)</f>
        <v>7186100</v>
      </c>
      <c r="L167" s="206">
        <f>SUM(L162:L166)</f>
        <v>0</v>
      </c>
      <c r="M167" s="206"/>
    </row>
    <row r="168" spans="1:14" s="71" customFormat="1" ht="12.75" customHeight="1" outlineLevel="1" x14ac:dyDescent="0.2">
      <c r="A168" s="196">
        <v>43231</v>
      </c>
      <c r="B168" s="196">
        <v>43235</v>
      </c>
      <c r="C168" s="228" t="s">
        <v>160</v>
      </c>
      <c r="D168" s="175" t="s">
        <v>161</v>
      </c>
      <c r="E168" s="180">
        <v>44331</v>
      </c>
      <c r="F168" s="203">
        <v>6.5000000000000002E-2</v>
      </c>
      <c r="G168" s="203"/>
      <c r="H168" s="203"/>
      <c r="I168" s="197"/>
      <c r="J168" s="197"/>
      <c r="K168" s="221">
        <v>1000000</v>
      </c>
      <c r="L168" s="221">
        <v>1000000</v>
      </c>
      <c r="M168" s="204">
        <f>L168/K168</f>
        <v>1</v>
      </c>
    </row>
    <row r="169" spans="1:14" s="71" customFormat="1" ht="12.75" customHeight="1" outlineLevel="1" x14ac:dyDescent="0.2">
      <c r="A169" s="252" t="s">
        <v>121</v>
      </c>
      <c r="B169" s="253"/>
      <c r="C169" s="253"/>
      <c r="D169" s="253"/>
      <c r="E169" s="253"/>
      <c r="F169" s="253"/>
      <c r="G169" s="253"/>
      <c r="H169" s="253"/>
      <c r="I169" s="253"/>
      <c r="J169" s="254"/>
      <c r="K169" s="206">
        <f>SUM(K168:K168)</f>
        <v>1000000</v>
      </c>
      <c r="L169" s="206">
        <f>SUM(L168:L168)</f>
        <v>1000000</v>
      </c>
      <c r="M169" s="185"/>
    </row>
    <row r="170" spans="1:14" s="71" customFormat="1" ht="12.75" customHeight="1" outlineLevel="1" x14ac:dyDescent="0.2">
      <c r="A170" s="196">
        <v>43235</v>
      </c>
      <c r="B170" s="180">
        <v>43237</v>
      </c>
      <c r="C170" s="190" t="s">
        <v>124</v>
      </c>
      <c r="D170" s="219" t="s">
        <v>188</v>
      </c>
      <c r="E170" s="180">
        <v>43407</v>
      </c>
      <c r="F170" s="203" t="s">
        <v>134</v>
      </c>
      <c r="G170" s="203">
        <v>4.5937499999999999E-2</v>
      </c>
      <c r="H170" s="203">
        <v>7.0000000000000007E-2</v>
      </c>
      <c r="I170" s="197">
        <v>4.6249999999999999E-2</v>
      </c>
      <c r="J170" s="220"/>
      <c r="K170" s="221">
        <v>4171000</v>
      </c>
      <c r="L170" s="222">
        <v>500000</v>
      </c>
      <c r="M170" s="223">
        <f t="shared" ref="M170:M175" si="26">IF(L170=0,0,K170/L170)</f>
        <v>8.3420000000000005</v>
      </c>
    </row>
    <row r="171" spans="1:14" s="71" customFormat="1" ht="12.75" customHeight="1" outlineLevel="1" x14ac:dyDescent="0.2">
      <c r="A171" s="172"/>
      <c r="B171" s="172"/>
      <c r="C171" s="172"/>
      <c r="D171" s="219" t="s">
        <v>150</v>
      </c>
      <c r="E171" s="180">
        <v>43905</v>
      </c>
      <c r="F171" s="203">
        <v>6.25E-2</v>
      </c>
      <c r="G171" s="203">
        <v>6.2812499999999993E-2</v>
      </c>
      <c r="H171" s="203">
        <v>6.9687499999999999E-2</v>
      </c>
      <c r="I171" s="197">
        <v>6.4451800000000004E-2</v>
      </c>
      <c r="J171" s="197"/>
      <c r="K171" s="183">
        <v>1473000</v>
      </c>
      <c r="L171" s="205">
        <v>840000</v>
      </c>
      <c r="M171" s="204">
        <f t="shared" si="26"/>
        <v>1.7535714285714286</v>
      </c>
    </row>
    <row r="172" spans="1:14" s="71" customFormat="1" ht="12.75" customHeight="1" outlineLevel="1" x14ac:dyDescent="0.2">
      <c r="A172" s="172"/>
      <c r="B172" s="172"/>
      <c r="C172" s="172"/>
      <c r="D172" s="219" t="s">
        <v>49</v>
      </c>
      <c r="E172" s="180">
        <v>44576</v>
      </c>
      <c r="F172" s="203">
        <v>5.45E-2</v>
      </c>
      <c r="G172" s="203">
        <v>6.7500000000000004E-2</v>
      </c>
      <c r="H172" s="203">
        <v>7.2187500000000002E-2</v>
      </c>
      <c r="I172" s="197">
        <v>6.8550799999999995E-2</v>
      </c>
      <c r="J172" s="197"/>
      <c r="K172" s="183">
        <v>1439000</v>
      </c>
      <c r="L172" s="205">
        <v>1190000</v>
      </c>
      <c r="M172" s="204">
        <f t="shared" si="26"/>
        <v>1.2092436974789915</v>
      </c>
      <c r="N172" s="186"/>
    </row>
    <row r="173" spans="1:14" s="71" customFormat="1" ht="12.75" customHeight="1" outlineLevel="1" x14ac:dyDescent="0.2">
      <c r="A173" s="172"/>
      <c r="B173" s="172"/>
      <c r="C173" s="172"/>
      <c r="D173" s="219" t="s">
        <v>151</v>
      </c>
      <c r="E173" s="180">
        <v>45945</v>
      </c>
      <c r="F173" s="203">
        <v>6.1249999999999999E-2</v>
      </c>
      <c r="G173" s="203">
        <v>7.4374999999999997E-2</v>
      </c>
      <c r="H173" s="203">
        <v>7.7499999999999999E-2</v>
      </c>
      <c r="I173" s="197" t="s">
        <v>137</v>
      </c>
      <c r="J173" s="197"/>
      <c r="K173" s="183">
        <v>332000</v>
      </c>
      <c r="L173" s="229">
        <v>0</v>
      </c>
      <c r="M173" s="229">
        <f t="shared" si="26"/>
        <v>0</v>
      </c>
      <c r="N173" s="186"/>
    </row>
    <row r="174" spans="1:14" s="71" customFormat="1" ht="12.75" customHeight="1" outlineLevel="1" x14ac:dyDescent="0.2">
      <c r="A174" s="172"/>
      <c r="B174" s="172"/>
      <c r="C174" s="172"/>
      <c r="D174" s="219" t="s">
        <v>152</v>
      </c>
      <c r="E174" s="180">
        <v>11642</v>
      </c>
      <c r="F174" s="203">
        <v>8.8749999999999996E-2</v>
      </c>
      <c r="G174" s="203">
        <v>7.6562500000000006E-2</v>
      </c>
      <c r="H174" s="203">
        <v>8.0312499999999995E-2</v>
      </c>
      <c r="I174" s="197">
        <v>7.7776399999999996E-2</v>
      </c>
      <c r="J174" s="197"/>
      <c r="K174" s="183">
        <v>1011500</v>
      </c>
      <c r="L174" s="229">
        <v>860000</v>
      </c>
      <c r="M174" s="204">
        <f t="shared" si="26"/>
        <v>1.1761627906976744</v>
      </c>
    </row>
    <row r="175" spans="1:14" s="71" customFormat="1" ht="12.75" customHeight="1" outlineLevel="1" x14ac:dyDescent="0.2">
      <c r="A175" s="211"/>
      <c r="B175" s="211"/>
      <c r="C175" s="211"/>
      <c r="D175" s="224" t="s">
        <v>53</v>
      </c>
      <c r="E175" s="213">
        <v>13561</v>
      </c>
      <c r="F175" s="214">
        <v>6.0999999999999999E-2</v>
      </c>
      <c r="G175" s="214">
        <v>7.8125E-2</v>
      </c>
      <c r="H175" s="214">
        <v>8.1562499999999996E-2</v>
      </c>
      <c r="I175" s="237">
        <v>7.9890500000000003E-2</v>
      </c>
      <c r="J175" s="215"/>
      <c r="K175" s="216">
        <v>681000</v>
      </c>
      <c r="L175" s="229">
        <v>665000</v>
      </c>
      <c r="M175" s="204">
        <f t="shared" si="26"/>
        <v>1.0240601503759399</v>
      </c>
    </row>
    <row r="176" spans="1:14" s="71" customFormat="1" ht="12.75" customHeight="1" outlineLevel="1" x14ac:dyDescent="0.2">
      <c r="A176" s="252" t="s">
        <v>121</v>
      </c>
      <c r="B176" s="253"/>
      <c r="C176" s="253"/>
      <c r="D176" s="253"/>
      <c r="E176" s="253"/>
      <c r="F176" s="253"/>
      <c r="G176" s="253"/>
      <c r="H176" s="253"/>
      <c r="I176" s="253"/>
      <c r="J176" s="254"/>
      <c r="K176" s="206">
        <f>SUM(K170:K175)</f>
        <v>9107500</v>
      </c>
      <c r="L176" s="206">
        <f>SUM(L170:L175)</f>
        <v>4055000</v>
      </c>
      <c r="M176" s="185"/>
    </row>
    <row r="177" spans="1:14" s="71" customFormat="1" ht="12.75" customHeight="1" outlineLevel="1" x14ac:dyDescent="0.2">
      <c r="A177" s="196">
        <v>43242</v>
      </c>
      <c r="B177" s="196">
        <v>43244</v>
      </c>
      <c r="C177" s="196" t="s">
        <v>124</v>
      </c>
      <c r="D177" s="175" t="s">
        <v>192</v>
      </c>
      <c r="E177" s="180">
        <v>43335</v>
      </c>
      <c r="F177" s="203" t="s">
        <v>134</v>
      </c>
      <c r="G177" s="203">
        <v>4.9500000000000002E-2</v>
      </c>
      <c r="H177" s="197">
        <v>5.7000000000000002E-2</v>
      </c>
      <c r="I177" s="197">
        <v>5.1954500000000001E-2</v>
      </c>
      <c r="J177" s="197">
        <v>5.3499999999999999E-2</v>
      </c>
      <c r="K177" s="205">
        <v>3320000</v>
      </c>
      <c r="L177" s="205">
        <v>2200000</v>
      </c>
      <c r="M177" s="204">
        <f t="shared" ref="M177:M181" si="27">IF(L177=0,0,K177/L177)</f>
        <v>1.509090909090909</v>
      </c>
    </row>
    <row r="178" spans="1:14" s="71" customFormat="1" ht="12.75" customHeight="1" outlineLevel="1" x14ac:dyDescent="0.2">
      <c r="A178" s="172"/>
      <c r="B178" s="172"/>
      <c r="C178" s="172"/>
      <c r="D178" s="175" t="s">
        <v>164</v>
      </c>
      <c r="E178" s="180">
        <v>43510</v>
      </c>
      <c r="F178" s="203" t="s">
        <v>134</v>
      </c>
      <c r="G178" s="203">
        <v>5.3999999999999999E-2</v>
      </c>
      <c r="H178" s="197">
        <v>6.6500000000000004E-2</v>
      </c>
      <c r="I178" s="197">
        <v>5.8609099999999997E-2</v>
      </c>
      <c r="J178" s="197">
        <v>0.06</v>
      </c>
      <c r="K178" s="205">
        <v>5820000</v>
      </c>
      <c r="L178" s="205">
        <v>3300000</v>
      </c>
      <c r="M178" s="204">
        <f t="shared" si="27"/>
        <v>1.7636363636363637</v>
      </c>
    </row>
    <row r="179" spans="1:14" s="71" customFormat="1" ht="12.75" customHeight="1" outlineLevel="1" x14ac:dyDescent="0.2">
      <c r="A179" s="172"/>
      <c r="B179" s="172"/>
      <c r="C179" s="172"/>
      <c r="D179" s="175" t="s">
        <v>95</v>
      </c>
      <c r="E179" s="180">
        <v>46888</v>
      </c>
      <c r="F179" s="203">
        <v>6.1249999999999999E-2</v>
      </c>
      <c r="G179" s="203">
        <v>7.3800000000000004E-2</v>
      </c>
      <c r="H179" s="203">
        <v>8.8499999999999995E-2</v>
      </c>
      <c r="I179" s="197">
        <v>7.4671100000000004E-2</v>
      </c>
      <c r="J179" s="197">
        <v>7.4999999999999997E-2</v>
      </c>
      <c r="K179" s="205">
        <v>14277600</v>
      </c>
      <c r="L179" s="205">
        <v>6750000</v>
      </c>
      <c r="M179" s="204">
        <f t="shared" si="27"/>
        <v>2.1152000000000002</v>
      </c>
    </row>
    <row r="180" spans="1:14" s="71" customFormat="1" ht="12.75" customHeight="1" outlineLevel="1" x14ac:dyDescent="0.2">
      <c r="A180" s="172"/>
      <c r="B180" s="172"/>
      <c r="C180" s="172"/>
      <c r="D180" s="175" t="s">
        <v>98</v>
      </c>
      <c r="E180" s="180">
        <v>48714</v>
      </c>
      <c r="F180" s="203">
        <v>6.6250000000000003E-2</v>
      </c>
      <c r="G180" s="203">
        <v>7.7799999999999994E-2</v>
      </c>
      <c r="H180" s="203">
        <v>9.2700000000000005E-2</v>
      </c>
      <c r="I180" s="197">
        <v>7.9195199999999993E-2</v>
      </c>
      <c r="J180" s="197">
        <v>7.9799999999999996E-2</v>
      </c>
      <c r="K180" s="205">
        <v>3746000</v>
      </c>
      <c r="L180" s="205">
        <v>2000000</v>
      </c>
      <c r="M180" s="204">
        <f t="shared" si="27"/>
        <v>1.873</v>
      </c>
    </row>
    <row r="181" spans="1:14" s="71" customFormat="1" ht="12.75" customHeight="1" outlineLevel="1" x14ac:dyDescent="0.2">
      <c r="A181" s="172"/>
      <c r="B181" s="172"/>
      <c r="C181" s="172"/>
      <c r="D181" s="175" t="s">
        <v>138</v>
      </c>
      <c r="E181" s="180">
        <v>50540</v>
      </c>
      <c r="F181" s="203">
        <v>7.4999999999999997E-2</v>
      </c>
      <c r="G181" s="203">
        <v>7.9399999999999998E-2</v>
      </c>
      <c r="H181" s="203">
        <v>9.4399999999999998E-2</v>
      </c>
      <c r="I181" s="197">
        <v>7.9994700000000002E-2</v>
      </c>
      <c r="J181" s="197">
        <v>8.0100000000000005E-2</v>
      </c>
      <c r="K181" s="205">
        <v>4311700</v>
      </c>
      <c r="L181" s="205">
        <v>750000</v>
      </c>
      <c r="M181" s="204">
        <f t="shared" si="27"/>
        <v>5.7489333333333335</v>
      </c>
    </row>
    <row r="182" spans="1:14" s="71" customFormat="1" ht="12.75" customHeight="1" outlineLevel="1" x14ac:dyDescent="0.2">
      <c r="A182" s="252" t="s">
        <v>121</v>
      </c>
      <c r="B182" s="253"/>
      <c r="C182" s="253"/>
      <c r="D182" s="253"/>
      <c r="E182" s="253"/>
      <c r="F182" s="253"/>
      <c r="G182" s="253"/>
      <c r="H182" s="253"/>
      <c r="I182" s="253"/>
      <c r="J182" s="254"/>
      <c r="K182" s="206">
        <f>SUM(K177:K181)</f>
        <v>31475300</v>
      </c>
      <c r="L182" s="206">
        <f>SUM(L177:L181)</f>
        <v>15000000</v>
      </c>
      <c r="M182" s="206"/>
    </row>
    <row r="183" spans="1:14" s="71" customFormat="1" ht="12.75" customHeight="1" outlineLevel="1" x14ac:dyDescent="0.2">
      <c r="A183" s="196">
        <v>43244</v>
      </c>
      <c r="B183" s="196">
        <v>43250</v>
      </c>
      <c r="C183" s="228" t="s">
        <v>160</v>
      </c>
      <c r="D183" s="175" t="s">
        <v>152</v>
      </c>
      <c r="E183" s="180">
        <v>48167</v>
      </c>
      <c r="F183" s="203">
        <v>8.8749999999999996E-2</v>
      </c>
      <c r="G183" s="203"/>
      <c r="H183" s="203"/>
      <c r="I183" s="197"/>
      <c r="J183" s="197"/>
      <c r="K183" s="221">
        <v>300000</v>
      </c>
      <c r="L183" s="221">
        <v>300000</v>
      </c>
      <c r="M183" s="204">
        <f>IF(L183=0,0,K183/L183)</f>
        <v>1</v>
      </c>
    </row>
    <row r="184" spans="1:14" s="71" customFormat="1" ht="12.75" customHeight="1" outlineLevel="1" x14ac:dyDescent="0.2">
      <c r="A184" s="252" t="s">
        <v>121</v>
      </c>
      <c r="B184" s="253"/>
      <c r="C184" s="253"/>
      <c r="D184" s="253"/>
      <c r="E184" s="253"/>
      <c r="F184" s="253"/>
      <c r="G184" s="253"/>
      <c r="H184" s="253"/>
      <c r="I184" s="253"/>
      <c r="J184" s="254"/>
      <c r="K184" s="206">
        <f>SUM(K183:K183)</f>
        <v>300000</v>
      </c>
      <c r="L184" s="206">
        <f>SUM(L183:L183)</f>
        <v>300000</v>
      </c>
      <c r="M184" s="185"/>
    </row>
    <row r="185" spans="1:14" s="71" customFormat="1" ht="12.75" customHeight="1" x14ac:dyDescent="0.2">
      <c r="A185" s="196">
        <v>43244</v>
      </c>
      <c r="B185" s="196">
        <v>43251</v>
      </c>
      <c r="C185" s="192" t="s">
        <v>123</v>
      </c>
      <c r="D185" s="175" t="s">
        <v>197</v>
      </c>
      <c r="E185" s="196">
        <v>44347</v>
      </c>
      <c r="F185" s="203">
        <v>6.7000000000000002E-3</v>
      </c>
      <c r="G185" s="187"/>
      <c r="H185" s="187"/>
      <c r="I185" s="242">
        <f>F185</f>
        <v>6.7000000000000002E-3</v>
      </c>
      <c r="J185" s="188"/>
      <c r="K185" s="189" t="s">
        <v>201</v>
      </c>
      <c r="L185" s="189" t="s">
        <v>201</v>
      </c>
      <c r="M185" s="200"/>
      <c r="N185" s="243"/>
    </row>
    <row r="186" spans="1:14" s="71" customFormat="1" ht="12.75" customHeight="1" outlineLevel="1" x14ac:dyDescent="0.2">
      <c r="A186" s="196"/>
      <c r="B186" s="196"/>
      <c r="C186" s="192"/>
      <c r="D186" s="175"/>
      <c r="E186" s="180"/>
      <c r="F186" s="203"/>
      <c r="G186" s="203"/>
      <c r="H186" s="197"/>
      <c r="I186" s="203"/>
      <c r="J186" s="197"/>
      <c r="K186" s="200">
        <f>49000*128.3973</f>
        <v>6291467.7000000002</v>
      </c>
      <c r="L186" s="200">
        <f>49000*128.3973</f>
        <v>6291467.7000000002</v>
      </c>
      <c r="M186" s="204">
        <f t="shared" ref="M186" si="28">IF(L186=0,0,K186/L186)</f>
        <v>1</v>
      </c>
      <c r="N186" s="186"/>
    </row>
    <row r="187" spans="1:14" s="71" customFormat="1" ht="12.75" customHeight="1" outlineLevel="1" x14ac:dyDescent="0.2">
      <c r="A187" s="196"/>
      <c r="B187" s="196"/>
      <c r="C187" s="192"/>
      <c r="D187" s="175" t="s">
        <v>198</v>
      </c>
      <c r="E187" s="196">
        <v>45077</v>
      </c>
      <c r="F187" s="203">
        <v>9.1999999999999998E-3</v>
      </c>
      <c r="G187" s="203"/>
      <c r="H187" s="197"/>
      <c r="I187" s="203">
        <f>F187</f>
        <v>9.1999999999999998E-3</v>
      </c>
      <c r="J187" s="197"/>
      <c r="K187" s="189" t="s">
        <v>202</v>
      </c>
      <c r="L187" s="189" t="s">
        <v>202</v>
      </c>
      <c r="M187" s="229"/>
    </row>
    <row r="188" spans="1:14" s="71" customFormat="1" ht="12.75" customHeight="1" outlineLevel="1" x14ac:dyDescent="0.2">
      <c r="A188" s="196"/>
      <c r="B188" s="196"/>
      <c r="C188" s="192"/>
      <c r="D188" s="175"/>
      <c r="E188" s="180"/>
      <c r="F188" s="203"/>
      <c r="G188" s="203"/>
      <c r="H188" s="197"/>
      <c r="I188" s="203"/>
      <c r="J188" s="197"/>
      <c r="K188" s="200">
        <f>39000*128.3973</f>
        <v>5007494.7</v>
      </c>
      <c r="L188" s="200">
        <f>39000*128.3973</f>
        <v>5007494.7</v>
      </c>
      <c r="M188" s="204">
        <f t="shared" ref="M188:M190" si="29">IF(L188=0,0,K188/L188)</f>
        <v>1</v>
      </c>
    </row>
    <row r="189" spans="1:14" s="71" customFormat="1" ht="12.75" customHeight="1" outlineLevel="1" x14ac:dyDescent="0.2">
      <c r="A189" s="196"/>
      <c r="B189" s="196"/>
      <c r="C189" s="192"/>
      <c r="D189" s="175" t="s">
        <v>199</v>
      </c>
      <c r="E189" s="196">
        <v>45808</v>
      </c>
      <c r="F189" s="203">
        <v>1.0699999999999999E-2</v>
      </c>
      <c r="G189" s="203"/>
      <c r="H189" s="197"/>
      <c r="I189" s="203">
        <f>F189</f>
        <v>1.0699999999999999E-2</v>
      </c>
      <c r="J189" s="197"/>
      <c r="K189" s="189" t="s">
        <v>203</v>
      </c>
      <c r="L189" s="189" t="s">
        <v>203</v>
      </c>
      <c r="M189" s="204"/>
    </row>
    <row r="190" spans="1:14" s="71" customFormat="1" ht="12.75" customHeight="1" outlineLevel="1" x14ac:dyDescent="0.2">
      <c r="A190" s="196"/>
      <c r="B190" s="196"/>
      <c r="C190" s="192"/>
      <c r="D190" s="175"/>
      <c r="E190" s="180"/>
      <c r="F190" s="203"/>
      <c r="G190" s="203"/>
      <c r="H190" s="197"/>
      <c r="I190" s="203"/>
      <c r="J190" s="197"/>
      <c r="K190" s="200">
        <f>3500*128.3973</f>
        <v>449390.55</v>
      </c>
      <c r="L190" s="200">
        <f>3500*128.3973</f>
        <v>449390.55</v>
      </c>
      <c r="M190" s="204">
        <f t="shared" si="29"/>
        <v>1</v>
      </c>
    </row>
    <row r="191" spans="1:14" s="71" customFormat="1" ht="12.75" customHeight="1" outlineLevel="1" x14ac:dyDescent="0.2">
      <c r="A191" s="172"/>
      <c r="B191" s="172"/>
      <c r="C191" s="172"/>
      <c r="D191" s="175" t="s">
        <v>200</v>
      </c>
      <c r="E191" s="196">
        <v>46904</v>
      </c>
      <c r="F191" s="203">
        <v>1.2699999999999999E-2</v>
      </c>
      <c r="G191" s="203"/>
      <c r="H191" s="197"/>
      <c r="I191" s="203">
        <f>F191</f>
        <v>1.2699999999999999E-2</v>
      </c>
      <c r="J191" s="197"/>
      <c r="K191" s="189" t="s">
        <v>204</v>
      </c>
      <c r="L191" s="189" t="s">
        <v>204</v>
      </c>
      <c r="M191" s="229"/>
    </row>
    <row r="192" spans="1:14" s="71" customFormat="1" ht="12.75" customHeight="1" outlineLevel="1" x14ac:dyDescent="0.2">
      <c r="A192" s="172"/>
      <c r="B192" s="172"/>
      <c r="C192" s="172"/>
      <c r="D192" s="175"/>
      <c r="E192" s="180"/>
      <c r="F192" s="203"/>
      <c r="G192" s="203"/>
      <c r="H192" s="197"/>
      <c r="I192" s="203"/>
      <c r="J192" s="197"/>
      <c r="K192" s="200">
        <f>8500*128.3973</f>
        <v>1091377.05</v>
      </c>
      <c r="L192" s="200">
        <f>8500*128.3973</f>
        <v>1091377.05</v>
      </c>
      <c r="M192" s="204">
        <f t="shared" ref="M192" si="30">IF(L192=0,0,K192/L192)</f>
        <v>1</v>
      </c>
    </row>
    <row r="193" spans="1:15" s="71" customFormat="1" ht="12.75" customHeight="1" outlineLevel="1" x14ac:dyDescent="0.2">
      <c r="A193" s="252" t="s">
        <v>121</v>
      </c>
      <c r="B193" s="253"/>
      <c r="C193" s="253"/>
      <c r="D193" s="253"/>
      <c r="E193" s="253"/>
      <c r="F193" s="253"/>
      <c r="G193" s="253"/>
      <c r="H193" s="253"/>
      <c r="I193" s="253"/>
      <c r="J193" s="254"/>
      <c r="K193" s="206">
        <f>SUM(K186,K188,K190,K192)</f>
        <v>12839730.000000002</v>
      </c>
      <c r="L193" s="206">
        <f>SUM(L186,L188,L190,L192)</f>
        <v>12839730.000000002</v>
      </c>
      <c r="M193" s="206"/>
    </row>
    <row r="194" spans="1:15" s="71" customFormat="1" ht="12.75" customHeight="1" outlineLevel="1" x14ac:dyDescent="0.2">
      <c r="A194" s="231">
        <v>43229</v>
      </c>
      <c r="B194" s="231">
        <v>43251</v>
      </c>
      <c r="C194" s="232" t="s">
        <v>123</v>
      </c>
      <c r="D194" s="233" t="s">
        <v>248</v>
      </c>
      <c r="E194" s="234">
        <v>43971</v>
      </c>
      <c r="F194" s="235">
        <v>6.8000000000000005E-2</v>
      </c>
      <c r="G194" s="235"/>
      <c r="H194" s="235"/>
      <c r="I194" s="235"/>
      <c r="J194" s="235"/>
      <c r="K194" s="236">
        <v>1928066</v>
      </c>
      <c r="L194" s="236">
        <v>1928066</v>
      </c>
      <c r="M194" s="204">
        <f>IF(L194=0,0,K194/L194)</f>
        <v>1</v>
      </c>
    </row>
    <row r="195" spans="1:15" s="71" customFormat="1" ht="12.75" customHeight="1" outlineLevel="1" x14ac:dyDescent="0.2">
      <c r="A195" s="252" t="s">
        <v>121</v>
      </c>
      <c r="B195" s="253"/>
      <c r="C195" s="253"/>
      <c r="D195" s="253"/>
      <c r="E195" s="253"/>
      <c r="F195" s="253"/>
      <c r="G195" s="253"/>
      <c r="H195" s="253"/>
      <c r="I195" s="253"/>
      <c r="J195" s="254"/>
      <c r="K195" s="206">
        <f>SUM(K194)</f>
        <v>1928066</v>
      </c>
      <c r="L195" s="206">
        <f>SUM(L194)</f>
        <v>1928066</v>
      </c>
      <c r="M195" s="206"/>
    </row>
    <row r="196" spans="1:15" s="198" customFormat="1" ht="12.75" customHeight="1" x14ac:dyDescent="0.2">
      <c r="A196" s="255" t="s">
        <v>187</v>
      </c>
      <c r="B196" s="256"/>
      <c r="C196" s="256"/>
      <c r="D196" s="256"/>
      <c r="E196" s="256"/>
      <c r="F196" s="256"/>
      <c r="G196" s="256"/>
      <c r="H196" s="256"/>
      <c r="I196" s="256"/>
      <c r="J196" s="257"/>
      <c r="K196" s="202">
        <f>K161+K167+K169+K176+K182+K184+K193+K195</f>
        <v>69366696</v>
      </c>
      <c r="L196" s="202">
        <f>L161+L167+L169+L176+L182+L184+L193+L195</f>
        <v>36502796</v>
      </c>
      <c r="M196" s="201"/>
      <c r="O196" s="199"/>
    </row>
    <row r="197" spans="1:15" s="198" customFormat="1" ht="12.75" customHeight="1" x14ac:dyDescent="0.2">
      <c r="A197" s="255" t="s">
        <v>193</v>
      </c>
      <c r="B197" s="256"/>
      <c r="C197" s="256"/>
      <c r="D197" s="256"/>
      <c r="E197" s="256"/>
      <c r="F197" s="256"/>
      <c r="G197" s="256"/>
      <c r="H197" s="256"/>
      <c r="I197" s="256"/>
      <c r="J197" s="257"/>
      <c r="K197" s="202">
        <f>SUM(K153,K196)</f>
        <v>774171786</v>
      </c>
      <c r="L197" s="202">
        <f>SUM(L153,L196)</f>
        <v>426972900</v>
      </c>
      <c r="M197" s="201"/>
      <c r="N197" s="39"/>
    </row>
    <row r="198" spans="1:15" s="71" customFormat="1" ht="12.75" customHeight="1" outlineLevel="1" x14ac:dyDescent="0.2">
      <c r="A198" s="196">
        <v>43250</v>
      </c>
      <c r="B198" s="180">
        <v>43255</v>
      </c>
      <c r="C198" s="190" t="s">
        <v>124</v>
      </c>
      <c r="D198" s="219" t="s">
        <v>196</v>
      </c>
      <c r="E198" s="180">
        <v>43435</v>
      </c>
      <c r="F198" s="203" t="s">
        <v>134</v>
      </c>
      <c r="G198" s="203">
        <v>5.2187499999999998E-2</v>
      </c>
      <c r="H198" s="203">
        <v>6.8750000000000006E-2</v>
      </c>
      <c r="I198" s="197">
        <v>5.3541699999999998E-2</v>
      </c>
      <c r="J198" s="220"/>
      <c r="K198" s="221">
        <v>4636000</v>
      </c>
      <c r="L198" s="222">
        <v>2550000</v>
      </c>
      <c r="M198" s="223">
        <f>IF(L198=0,0,K198/L198)</f>
        <v>1.8180392156862746</v>
      </c>
    </row>
    <row r="199" spans="1:15" s="71" customFormat="1" ht="12.75" customHeight="1" outlineLevel="1" x14ac:dyDescent="0.2">
      <c r="A199" s="172"/>
      <c r="B199" s="172"/>
      <c r="C199" s="172"/>
      <c r="D199" s="219" t="s">
        <v>150</v>
      </c>
      <c r="E199" s="180">
        <v>43905</v>
      </c>
      <c r="F199" s="203">
        <v>6.25E-2</v>
      </c>
      <c r="G199" s="203">
        <v>6.5312499999999996E-2</v>
      </c>
      <c r="H199" s="203">
        <v>7.2499999999999995E-2</v>
      </c>
      <c r="I199" s="197">
        <v>6.8100900000000006E-2</v>
      </c>
      <c r="J199" s="197"/>
      <c r="K199" s="183">
        <v>442000</v>
      </c>
      <c r="L199" s="205">
        <v>415000</v>
      </c>
      <c r="M199" s="204">
        <f t="shared" ref="M199:M203" si="31">IF(L199=0,0,K199/L199)</f>
        <v>1.0650602409638554</v>
      </c>
    </row>
    <row r="200" spans="1:15" s="71" customFormat="1" ht="12.75" customHeight="1" outlineLevel="1" x14ac:dyDescent="0.2">
      <c r="A200" s="172"/>
      <c r="B200" s="172"/>
      <c r="C200" s="172"/>
      <c r="D200" s="219" t="s">
        <v>49</v>
      </c>
      <c r="E200" s="180">
        <v>44576</v>
      </c>
      <c r="F200" s="203">
        <v>5.45E-2</v>
      </c>
      <c r="G200" s="203">
        <v>6.9062499999999999E-2</v>
      </c>
      <c r="H200" s="203">
        <v>7.0624999999999993E-2</v>
      </c>
      <c r="I200" s="197">
        <v>6.9849800000000004E-2</v>
      </c>
      <c r="J200" s="197"/>
      <c r="K200" s="183">
        <v>673000</v>
      </c>
      <c r="L200" s="205">
        <v>315000</v>
      </c>
      <c r="M200" s="204">
        <f t="shared" si="31"/>
        <v>2.1365079365079365</v>
      </c>
      <c r="N200" s="186"/>
    </row>
    <row r="201" spans="1:15" s="71" customFormat="1" ht="12.75" customHeight="1" outlineLevel="1" x14ac:dyDescent="0.2">
      <c r="A201" s="172"/>
      <c r="B201" s="172"/>
      <c r="C201" s="172"/>
      <c r="D201" s="219" t="s">
        <v>151</v>
      </c>
      <c r="E201" s="180">
        <v>45945</v>
      </c>
      <c r="F201" s="203">
        <v>6.1249999999999999E-2</v>
      </c>
      <c r="G201" s="203">
        <v>7.9687499999999994E-2</v>
      </c>
      <c r="H201" s="203">
        <v>7.9687499999999994E-2</v>
      </c>
      <c r="I201" s="197" t="s">
        <v>137</v>
      </c>
      <c r="J201" s="197"/>
      <c r="K201" s="183">
        <v>211000</v>
      </c>
      <c r="L201" s="229">
        <v>0</v>
      </c>
      <c r="M201" s="230">
        <f t="shared" si="31"/>
        <v>0</v>
      </c>
      <c r="N201" s="186"/>
    </row>
    <row r="202" spans="1:15" s="71" customFormat="1" ht="12.75" customHeight="1" outlineLevel="1" x14ac:dyDescent="0.2">
      <c r="A202" s="172"/>
      <c r="B202" s="172"/>
      <c r="C202" s="172"/>
      <c r="D202" s="219" t="s">
        <v>152</v>
      </c>
      <c r="E202" s="180">
        <v>11642</v>
      </c>
      <c r="F202" s="203">
        <v>8.8749999999999996E-2</v>
      </c>
      <c r="G202" s="203">
        <v>7.9375000000000001E-2</v>
      </c>
      <c r="H202" s="203">
        <v>8.1875000000000003E-2</v>
      </c>
      <c r="I202" s="197">
        <v>8.0751199999999995E-2</v>
      </c>
      <c r="J202" s="197"/>
      <c r="K202" s="183">
        <v>1096000</v>
      </c>
      <c r="L202" s="229">
        <v>1080000</v>
      </c>
      <c r="M202" s="230">
        <f t="shared" si="31"/>
        <v>1.0148148148148148</v>
      </c>
    </row>
    <row r="203" spans="1:15" s="71" customFormat="1" ht="12.75" customHeight="1" outlineLevel="1" x14ac:dyDescent="0.2">
      <c r="A203" s="172"/>
      <c r="B203" s="172"/>
      <c r="C203" s="172"/>
      <c r="D203" s="219" t="s">
        <v>53</v>
      </c>
      <c r="E203" s="180">
        <v>13561</v>
      </c>
      <c r="F203" s="203">
        <v>6.0999999999999999E-2</v>
      </c>
      <c r="G203" s="203">
        <v>8.0937499999999996E-2</v>
      </c>
      <c r="H203" s="203">
        <v>8.2187499999999997E-2</v>
      </c>
      <c r="I203" s="197" t="s">
        <v>137</v>
      </c>
      <c r="J203" s="197"/>
      <c r="K203" s="183">
        <v>97000</v>
      </c>
      <c r="L203" s="229">
        <v>0</v>
      </c>
      <c r="M203" s="230">
        <f t="shared" si="31"/>
        <v>0</v>
      </c>
    </row>
    <row r="204" spans="1:15" s="71" customFormat="1" ht="12.75" customHeight="1" outlineLevel="1" x14ac:dyDescent="0.2">
      <c r="A204" s="252" t="s">
        <v>121</v>
      </c>
      <c r="B204" s="253"/>
      <c r="C204" s="253"/>
      <c r="D204" s="253"/>
      <c r="E204" s="253"/>
      <c r="F204" s="253"/>
      <c r="G204" s="253"/>
      <c r="H204" s="253"/>
      <c r="I204" s="253"/>
      <c r="J204" s="254"/>
      <c r="K204" s="206">
        <f>SUM(K198:K203)</f>
        <v>7155000</v>
      </c>
      <c r="L204" s="206">
        <f>SUM(L198:L203)</f>
        <v>4360000</v>
      </c>
      <c r="M204" s="185"/>
    </row>
    <row r="205" spans="1:15" s="71" customFormat="1" ht="12.75" customHeight="1" outlineLevel="1" x14ac:dyDescent="0.2">
      <c r="A205" s="196">
        <v>43250</v>
      </c>
      <c r="B205" s="180">
        <v>43255</v>
      </c>
      <c r="C205" s="228" t="s">
        <v>160</v>
      </c>
      <c r="D205" s="175" t="s">
        <v>194</v>
      </c>
      <c r="E205" s="180">
        <v>46888</v>
      </c>
      <c r="F205" s="203">
        <v>7.6249999999999998E-2</v>
      </c>
      <c r="G205" s="203"/>
      <c r="H205" s="203"/>
      <c r="I205" s="197"/>
      <c r="J205" s="197"/>
      <c r="K205" s="221">
        <v>2000000</v>
      </c>
      <c r="L205" s="221">
        <v>2000000</v>
      </c>
      <c r="M205" s="204">
        <f>IF(L205=0,0,K205/L205)</f>
        <v>1</v>
      </c>
    </row>
    <row r="206" spans="1:15" s="71" customFormat="1" ht="12.75" customHeight="1" outlineLevel="1" x14ac:dyDescent="0.2">
      <c r="A206" s="252" t="s">
        <v>121</v>
      </c>
      <c r="B206" s="253"/>
      <c r="C206" s="253"/>
      <c r="D206" s="253"/>
      <c r="E206" s="253"/>
      <c r="F206" s="253"/>
      <c r="G206" s="253"/>
      <c r="H206" s="253"/>
      <c r="I206" s="253"/>
      <c r="J206" s="254"/>
      <c r="K206" s="206">
        <f>SUM(K205:K205)</f>
        <v>2000000</v>
      </c>
      <c r="L206" s="206">
        <f>SUM(L205:L205)</f>
        <v>2000000</v>
      </c>
      <c r="M206" s="185"/>
    </row>
    <row r="207" spans="1:15" s="71" customFormat="1" ht="12.75" customHeight="1" outlineLevel="1" x14ac:dyDescent="0.2">
      <c r="A207" s="196">
        <v>43251</v>
      </c>
      <c r="B207" s="180">
        <v>43257</v>
      </c>
      <c r="C207" s="228" t="s">
        <v>160</v>
      </c>
      <c r="D207" s="175" t="s">
        <v>205</v>
      </c>
      <c r="E207" s="180">
        <v>45427</v>
      </c>
      <c r="F207" s="203">
        <v>8.3750000000000005E-2</v>
      </c>
      <c r="G207" s="203"/>
      <c r="H207" s="203"/>
      <c r="I207" s="197"/>
      <c r="J207" s="197"/>
      <c r="K207" s="221">
        <v>1500000</v>
      </c>
      <c r="L207" s="221">
        <v>1500000</v>
      </c>
      <c r="M207" s="204">
        <f>IF(L207=0,0,K207/L207)</f>
        <v>1</v>
      </c>
    </row>
    <row r="208" spans="1:15" s="71" customFormat="1" ht="12.75" customHeight="1" outlineLevel="1" x14ac:dyDescent="0.2">
      <c r="A208" s="196"/>
      <c r="B208" s="180"/>
      <c r="C208" s="228"/>
      <c r="D208" s="175" t="s">
        <v>43</v>
      </c>
      <c r="E208" s="180">
        <v>46522</v>
      </c>
      <c r="F208" s="203">
        <v>7.0000000000000007E-2</v>
      </c>
      <c r="G208" s="203"/>
      <c r="H208" s="203"/>
      <c r="I208" s="197"/>
      <c r="J208" s="197"/>
      <c r="K208" s="183">
        <v>2100000</v>
      </c>
      <c r="L208" s="183">
        <v>2100000</v>
      </c>
      <c r="M208" s="204">
        <f>IF(L208=0,0,K208/L208)</f>
        <v>1</v>
      </c>
    </row>
    <row r="209" spans="1:15" s="71" customFormat="1" ht="12.75" customHeight="1" outlineLevel="1" x14ac:dyDescent="0.2">
      <c r="A209" s="252" t="s">
        <v>121</v>
      </c>
      <c r="B209" s="253"/>
      <c r="C209" s="253"/>
      <c r="D209" s="253"/>
      <c r="E209" s="253"/>
      <c r="F209" s="253"/>
      <c r="G209" s="253"/>
      <c r="H209" s="253"/>
      <c r="I209" s="253"/>
      <c r="J209" s="254"/>
      <c r="K209" s="206">
        <f>SUM(K207:K208)</f>
        <v>3600000</v>
      </c>
      <c r="L209" s="206">
        <f>SUM(L207:L208)</f>
        <v>3600000</v>
      </c>
      <c r="M209" s="185"/>
    </row>
    <row r="210" spans="1:15" s="71" customFormat="1" ht="12.75" customHeight="1" outlineLevel="1" x14ac:dyDescent="0.2">
      <c r="A210" s="196">
        <v>43256</v>
      </c>
      <c r="B210" s="196">
        <v>43258</v>
      </c>
      <c r="C210" s="196" t="s">
        <v>124</v>
      </c>
      <c r="D210" s="175" t="s">
        <v>206</v>
      </c>
      <c r="E210" s="180">
        <v>43349</v>
      </c>
      <c r="F210" s="203" t="s">
        <v>134</v>
      </c>
      <c r="G210" s="203">
        <v>5.2499999999999998E-2</v>
      </c>
      <c r="H210" s="197">
        <v>5.5E-2</v>
      </c>
      <c r="I210" s="197">
        <v>5.2990000000000002E-2</v>
      </c>
      <c r="J210" s="197">
        <v>5.3499999999999999E-2</v>
      </c>
      <c r="K210" s="205">
        <v>4965000</v>
      </c>
      <c r="L210" s="240">
        <v>3000000</v>
      </c>
      <c r="M210" s="204">
        <f t="shared" ref="M210:M215" si="32">IF(L210=0,0,K210/L210)</f>
        <v>1.655</v>
      </c>
    </row>
    <row r="211" spans="1:15" s="71" customFormat="1" ht="12.75" customHeight="1" outlineLevel="1" x14ac:dyDescent="0.2">
      <c r="A211" s="172"/>
      <c r="B211" s="172"/>
      <c r="C211" s="172"/>
      <c r="D211" s="175" t="s">
        <v>207</v>
      </c>
      <c r="E211" s="180">
        <v>43622</v>
      </c>
      <c r="F211" s="203" t="s">
        <v>134</v>
      </c>
      <c r="G211" s="203">
        <v>5.8999999999999997E-2</v>
      </c>
      <c r="H211" s="197">
        <v>6.5000000000000002E-2</v>
      </c>
      <c r="I211" s="197">
        <v>5.9714299999999998E-2</v>
      </c>
      <c r="J211" s="197">
        <v>0.06</v>
      </c>
      <c r="K211" s="205">
        <v>4550000</v>
      </c>
      <c r="L211" s="240">
        <v>700000</v>
      </c>
      <c r="M211" s="204">
        <f t="shared" si="32"/>
        <v>6.5</v>
      </c>
    </row>
    <row r="212" spans="1:15" s="71" customFormat="1" ht="12.75" customHeight="1" outlineLevel="1" x14ac:dyDescent="0.2">
      <c r="A212" s="172"/>
      <c r="B212" s="172"/>
      <c r="C212" s="172"/>
      <c r="D212" s="175" t="s">
        <v>94</v>
      </c>
      <c r="E212" s="180">
        <v>45061</v>
      </c>
      <c r="F212" s="203">
        <v>5.6250000000000001E-2</v>
      </c>
      <c r="G212" s="203">
        <v>6.7500000000000004E-2</v>
      </c>
      <c r="H212" s="203">
        <v>7.1999999999999995E-2</v>
      </c>
      <c r="I212" s="197">
        <v>6.7972699999999997E-2</v>
      </c>
      <c r="J212" s="197">
        <v>6.83E-2</v>
      </c>
      <c r="K212" s="205">
        <v>6858500</v>
      </c>
      <c r="L212" s="240">
        <v>2500000</v>
      </c>
      <c r="M212" s="204">
        <f t="shared" si="32"/>
        <v>2.7433999999999998</v>
      </c>
    </row>
    <row r="213" spans="1:15" s="71" customFormat="1" ht="12.75" customHeight="1" outlineLevel="1" x14ac:dyDescent="0.2">
      <c r="A213" s="172"/>
      <c r="B213" s="172"/>
      <c r="C213" s="172"/>
      <c r="D213" s="175" t="s">
        <v>95</v>
      </c>
      <c r="E213" s="180">
        <v>46888</v>
      </c>
      <c r="F213" s="203">
        <v>6.1249999999999999E-2</v>
      </c>
      <c r="G213" s="203">
        <v>7.0199999999999999E-2</v>
      </c>
      <c r="H213" s="203">
        <v>7.7499999999999999E-2</v>
      </c>
      <c r="I213" s="197">
        <v>7.05789E-2</v>
      </c>
      <c r="J213" s="197">
        <v>7.1199999999999999E-2</v>
      </c>
      <c r="K213" s="205">
        <v>8552500</v>
      </c>
      <c r="L213" s="240">
        <v>3150000</v>
      </c>
      <c r="M213" s="204">
        <f t="shared" si="32"/>
        <v>2.7150793650793652</v>
      </c>
    </row>
    <row r="214" spans="1:15" s="71" customFormat="1" ht="12.75" customHeight="1" outlineLevel="1" x14ac:dyDescent="0.2">
      <c r="A214" s="172"/>
      <c r="B214" s="172"/>
      <c r="C214" s="172"/>
      <c r="D214" s="175" t="s">
        <v>98</v>
      </c>
      <c r="E214" s="180">
        <v>48714</v>
      </c>
      <c r="F214" s="203">
        <v>6.6250000000000003E-2</v>
      </c>
      <c r="G214" s="203">
        <v>7.4300000000000005E-2</v>
      </c>
      <c r="H214" s="203">
        <v>0.08</v>
      </c>
      <c r="I214" s="197">
        <v>7.4690500000000007E-2</v>
      </c>
      <c r="J214" s="197">
        <v>7.5200000000000003E-2</v>
      </c>
      <c r="K214" s="205">
        <v>3605300</v>
      </c>
      <c r="L214" s="240">
        <v>2200000</v>
      </c>
      <c r="M214" s="204">
        <f t="shared" si="32"/>
        <v>1.6387727272727273</v>
      </c>
    </row>
    <row r="215" spans="1:15" s="71" customFormat="1" ht="12.75" customHeight="1" outlineLevel="1" x14ac:dyDescent="0.2">
      <c r="A215" s="172"/>
      <c r="B215" s="172"/>
      <c r="C215" s="172"/>
      <c r="D215" s="175" t="s">
        <v>175</v>
      </c>
      <c r="E215" s="180">
        <v>54193</v>
      </c>
      <c r="F215" s="203">
        <v>7.3749999999999996E-2</v>
      </c>
      <c r="G215" s="203">
        <v>7.7799999999999994E-2</v>
      </c>
      <c r="H215" s="203">
        <v>8.0500000000000002E-2</v>
      </c>
      <c r="I215" s="197">
        <v>7.8444E-2</v>
      </c>
      <c r="J215" s="197">
        <v>7.9000000000000001E-2</v>
      </c>
      <c r="K215" s="205">
        <v>774800</v>
      </c>
      <c r="L215" s="240">
        <v>150000</v>
      </c>
      <c r="M215" s="204">
        <f t="shared" si="32"/>
        <v>5.1653333333333338</v>
      </c>
    </row>
    <row r="216" spans="1:15" s="71" customFormat="1" ht="12.75" customHeight="1" outlineLevel="1" x14ac:dyDescent="0.2">
      <c r="A216" s="252" t="s">
        <v>121</v>
      </c>
      <c r="B216" s="253"/>
      <c r="C216" s="253"/>
      <c r="D216" s="253"/>
      <c r="E216" s="253"/>
      <c r="F216" s="253"/>
      <c r="G216" s="253"/>
      <c r="H216" s="253"/>
      <c r="I216" s="253"/>
      <c r="J216" s="254"/>
      <c r="K216" s="206">
        <f>SUM(K210:K215)</f>
        <v>29306100</v>
      </c>
      <c r="L216" s="206">
        <f>SUM(L210:L215)</f>
        <v>11700000</v>
      </c>
      <c r="M216" s="206"/>
    </row>
    <row r="217" spans="1:15" s="71" customFormat="1" ht="12.75" customHeight="1" outlineLevel="1" x14ac:dyDescent="0.2">
      <c r="A217" s="196">
        <v>43277</v>
      </c>
      <c r="B217" s="180">
        <v>43279</v>
      </c>
      <c r="C217" s="190" t="s">
        <v>124</v>
      </c>
      <c r="D217" s="219" t="s">
        <v>196</v>
      </c>
      <c r="E217" s="180">
        <v>43435</v>
      </c>
      <c r="F217" s="203" t="s">
        <v>134</v>
      </c>
      <c r="G217" s="203">
        <v>5.5E-2</v>
      </c>
      <c r="H217" s="203">
        <v>7.0000000000000007E-2</v>
      </c>
      <c r="I217" s="197">
        <v>5.5468799999999999E-2</v>
      </c>
      <c r="J217" s="220"/>
      <c r="K217" s="221">
        <v>5253300</v>
      </c>
      <c r="L217" s="222">
        <v>4000000</v>
      </c>
      <c r="M217" s="223">
        <f>IF(L217=0,0,K217/L217)</f>
        <v>1.3133250000000001</v>
      </c>
    </row>
    <row r="218" spans="1:15" s="71" customFormat="1" ht="12.75" customHeight="1" outlineLevel="1" x14ac:dyDescent="0.2">
      <c r="A218" s="172"/>
      <c r="B218" s="172"/>
      <c r="C218" s="172"/>
      <c r="D218" s="219" t="s">
        <v>150</v>
      </c>
      <c r="E218" s="180">
        <v>43905</v>
      </c>
      <c r="F218" s="203">
        <v>6.25E-2</v>
      </c>
      <c r="G218" s="203">
        <v>7.0624999999999993E-2</v>
      </c>
      <c r="H218" s="203">
        <v>7.6249999999999998E-2</v>
      </c>
      <c r="I218" s="197">
        <v>7.1553199999999997E-2</v>
      </c>
      <c r="J218" s="197"/>
      <c r="K218" s="183">
        <v>701000</v>
      </c>
      <c r="L218" s="205">
        <v>540000</v>
      </c>
      <c r="M218" s="204">
        <f t="shared" ref="M218:M222" si="33">IF(L218=0,0,K218/L218)</f>
        <v>1.2981481481481481</v>
      </c>
    </row>
    <row r="219" spans="1:15" s="71" customFormat="1" ht="12.75" customHeight="1" outlineLevel="1" x14ac:dyDescent="0.2">
      <c r="A219" s="172"/>
      <c r="B219" s="172"/>
      <c r="C219" s="172"/>
      <c r="D219" s="219" t="s">
        <v>49</v>
      </c>
      <c r="E219" s="180">
        <v>44576</v>
      </c>
      <c r="F219" s="203">
        <v>5.45E-2</v>
      </c>
      <c r="G219" s="203">
        <v>7.3124999999999996E-2</v>
      </c>
      <c r="H219" s="203">
        <v>8.2500000000000004E-2</v>
      </c>
      <c r="I219" s="197">
        <v>7.3197100000000001E-2</v>
      </c>
      <c r="J219" s="197"/>
      <c r="K219" s="183">
        <v>840000</v>
      </c>
      <c r="L219" s="205">
        <v>325000</v>
      </c>
      <c r="M219" s="204">
        <f t="shared" si="33"/>
        <v>2.5846153846153848</v>
      </c>
      <c r="N219" s="186"/>
    </row>
    <row r="220" spans="1:15" s="71" customFormat="1" ht="12.75" customHeight="1" outlineLevel="1" x14ac:dyDescent="0.2">
      <c r="A220" s="172"/>
      <c r="B220" s="172"/>
      <c r="C220" s="172"/>
      <c r="D220" s="219" t="s">
        <v>151</v>
      </c>
      <c r="E220" s="180">
        <v>45945</v>
      </c>
      <c r="F220" s="203">
        <v>6.1249999999999999E-2</v>
      </c>
      <c r="G220" s="203">
        <v>7.5624999999999998E-2</v>
      </c>
      <c r="H220" s="203">
        <v>7.9062499999999994E-2</v>
      </c>
      <c r="I220" s="197" t="s">
        <v>137</v>
      </c>
      <c r="J220" s="197"/>
      <c r="K220" s="183">
        <v>24000</v>
      </c>
      <c r="L220" s="229">
        <v>0</v>
      </c>
      <c r="M220" s="230">
        <f t="shared" si="33"/>
        <v>0</v>
      </c>
      <c r="N220" s="186"/>
    </row>
    <row r="221" spans="1:15" s="71" customFormat="1" ht="12.75" customHeight="1" outlineLevel="1" x14ac:dyDescent="0.2">
      <c r="A221" s="172"/>
      <c r="B221" s="172"/>
      <c r="C221" s="172"/>
      <c r="D221" s="219" t="s">
        <v>152</v>
      </c>
      <c r="E221" s="180">
        <v>11642</v>
      </c>
      <c r="F221" s="203">
        <v>8.8749999999999996E-2</v>
      </c>
      <c r="G221" s="203">
        <v>7.3437500000000003E-2</v>
      </c>
      <c r="H221" s="203">
        <v>8.3750000000000005E-2</v>
      </c>
      <c r="I221" s="197">
        <v>8.1244399999999994E-2</v>
      </c>
      <c r="J221" s="197"/>
      <c r="K221" s="183">
        <v>294000</v>
      </c>
      <c r="L221" s="229">
        <v>294000</v>
      </c>
      <c r="M221" s="230">
        <f t="shared" si="33"/>
        <v>1</v>
      </c>
    </row>
    <row r="222" spans="1:15" s="71" customFormat="1" ht="12.75" customHeight="1" outlineLevel="1" x14ac:dyDescent="0.2">
      <c r="A222" s="172"/>
      <c r="B222" s="172"/>
      <c r="C222" s="172"/>
      <c r="D222" s="219" t="s">
        <v>53</v>
      </c>
      <c r="E222" s="180">
        <v>13561</v>
      </c>
      <c r="F222" s="203">
        <v>6.0999999999999999E-2</v>
      </c>
      <c r="G222" s="203">
        <v>8.4375000000000006E-2</v>
      </c>
      <c r="H222" s="203">
        <v>8.6562500000000001E-2</v>
      </c>
      <c r="I222" s="197" t="s">
        <v>137</v>
      </c>
      <c r="J222" s="197"/>
      <c r="K222" s="183">
        <v>35000</v>
      </c>
      <c r="L222" s="229">
        <v>0</v>
      </c>
      <c r="M222" s="230">
        <f t="shared" si="33"/>
        <v>0</v>
      </c>
    </row>
    <row r="223" spans="1:15" s="71" customFormat="1" ht="12.75" customHeight="1" outlineLevel="1" x14ac:dyDescent="0.2">
      <c r="A223" s="252" t="s">
        <v>121</v>
      </c>
      <c r="B223" s="253"/>
      <c r="C223" s="253"/>
      <c r="D223" s="253"/>
      <c r="E223" s="253"/>
      <c r="F223" s="253"/>
      <c r="G223" s="253"/>
      <c r="H223" s="253"/>
      <c r="I223" s="253"/>
      <c r="J223" s="254"/>
      <c r="K223" s="206">
        <f>SUM(K217:K222)</f>
        <v>7147300</v>
      </c>
      <c r="L223" s="206">
        <f>SUM(L217:L222)</f>
        <v>5159000</v>
      </c>
      <c r="M223" s="185"/>
    </row>
    <row r="224" spans="1:15" s="198" customFormat="1" ht="12.75" customHeight="1" x14ac:dyDescent="0.2">
      <c r="A224" s="255" t="s">
        <v>195</v>
      </c>
      <c r="B224" s="256"/>
      <c r="C224" s="256"/>
      <c r="D224" s="256"/>
      <c r="E224" s="256"/>
      <c r="F224" s="256"/>
      <c r="G224" s="256"/>
      <c r="H224" s="256"/>
      <c r="I224" s="256"/>
      <c r="J224" s="257"/>
      <c r="K224" s="202">
        <f>K204+K206+K209+K216+K223</f>
        <v>49208400</v>
      </c>
      <c r="L224" s="202">
        <f>L204+L206+L209+L216+L223</f>
        <v>26819000</v>
      </c>
      <c r="M224" s="201"/>
      <c r="O224" s="199"/>
    </row>
    <row r="225" spans="1:14" s="198" customFormat="1" ht="12.75" customHeight="1" x14ac:dyDescent="0.2">
      <c r="A225" s="255" t="s">
        <v>208</v>
      </c>
      <c r="B225" s="256"/>
      <c r="C225" s="256"/>
      <c r="D225" s="256"/>
      <c r="E225" s="256"/>
      <c r="F225" s="256"/>
      <c r="G225" s="256"/>
      <c r="H225" s="256"/>
      <c r="I225" s="256"/>
      <c r="J225" s="257"/>
      <c r="K225" s="202">
        <f>SUM(K197,K224)</f>
        <v>823380186</v>
      </c>
      <c r="L225" s="202">
        <f>SUM(L197,L224)</f>
        <v>453791900</v>
      </c>
      <c r="M225" s="201"/>
      <c r="N225" s="39"/>
    </row>
    <row r="226" spans="1:14" s="71" customFormat="1" ht="12.75" customHeight="1" outlineLevel="1" x14ac:dyDescent="0.2">
      <c r="A226" s="196">
        <v>43279</v>
      </c>
      <c r="B226" s="180">
        <v>43284</v>
      </c>
      <c r="C226" s="228" t="s">
        <v>160</v>
      </c>
      <c r="D226" s="175" t="s">
        <v>194</v>
      </c>
      <c r="E226" s="180">
        <v>46888</v>
      </c>
      <c r="F226" s="203">
        <v>7.6249999999999998E-2</v>
      </c>
      <c r="G226" s="203"/>
      <c r="H226" s="203"/>
      <c r="I226" s="197"/>
      <c r="J226" s="197"/>
      <c r="K226" s="221">
        <v>1000000</v>
      </c>
      <c r="L226" s="221">
        <v>1000000</v>
      </c>
      <c r="M226" s="204">
        <f>IF(L226=0,0,K226/L226)</f>
        <v>1</v>
      </c>
    </row>
    <row r="227" spans="1:14" s="71" customFormat="1" ht="12.75" customHeight="1" outlineLevel="1" x14ac:dyDescent="0.2">
      <c r="A227" s="252" t="s">
        <v>121</v>
      </c>
      <c r="B227" s="253"/>
      <c r="C227" s="253"/>
      <c r="D227" s="253"/>
      <c r="E227" s="253"/>
      <c r="F227" s="253"/>
      <c r="G227" s="253"/>
      <c r="H227" s="253"/>
      <c r="I227" s="253"/>
      <c r="J227" s="254"/>
      <c r="K227" s="206">
        <f>SUM(K226:K226)</f>
        <v>1000000</v>
      </c>
      <c r="L227" s="206">
        <f>SUM(L226:L226)</f>
        <v>1000000</v>
      </c>
      <c r="M227" s="185"/>
    </row>
    <row r="228" spans="1:14" s="71" customFormat="1" ht="12.75" customHeight="1" outlineLevel="1" x14ac:dyDescent="0.2">
      <c r="A228" s="196">
        <v>43284</v>
      </c>
      <c r="B228" s="196">
        <v>43286</v>
      </c>
      <c r="C228" s="196" t="s">
        <v>124</v>
      </c>
      <c r="D228" s="175" t="s">
        <v>210</v>
      </c>
      <c r="E228" s="180">
        <v>43335</v>
      </c>
      <c r="F228" s="203" t="s">
        <v>134</v>
      </c>
      <c r="G228" s="203">
        <v>5.5E-2</v>
      </c>
      <c r="H228" s="197">
        <v>6.2E-2</v>
      </c>
      <c r="I228" s="197">
        <v>5.6849999999999998E-2</v>
      </c>
      <c r="J228" s="197">
        <v>5.7500000000000002E-2</v>
      </c>
      <c r="K228" s="205">
        <v>7250000</v>
      </c>
      <c r="L228" s="205">
        <v>3000000</v>
      </c>
      <c r="M228" s="204">
        <f t="shared" ref="M228:M232" si="34">IF(L228=0,0,K228/L228)</f>
        <v>2.4166666666666665</v>
      </c>
    </row>
    <row r="229" spans="1:14" s="71" customFormat="1" ht="12.75" customHeight="1" outlineLevel="1" x14ac:dyDescent="0.2">
      <c r="A229" s="172"/>
      <c r="B229" s="172"/>
      <c r="C229" s="172"/>
      <c r="D229" s="175" t="s">
        <v>211</v>
      </c>
      <c r="E229" s="180">
        <v>43510</v>
      </c>
      <c r="F229" s="203" t="s">
        <v>134</v>
      </c>
      <c r="G229" s="203">
        <v>6.1899999999999997E-2</v>
      </c>
      <c r="H229" s="197">
        <v>7.2999999999999995E-2</v>
      </c>
      <c r="I229" s="197">
        <v>6.5642900000000004E-2</v>
      </c>
      <c r="J229" s="197">
        <v>6.9500000000000006E-2</v>
      </c>
      <c r="K229" s="205">
        <v>6125000</v>
      </c>
      <c r="L229" s="205">
        <v>3500000</v>
      </c>
      <c r="M229" s="204">
        <f t="shared" si="34"/>
        <v>1.75</v>
      </c>
    </row>
    <row r="230" spans="1:14" s="71" customFormat="1" ht="12.75" customHeight="1" outlineLevel="1" x14ac:dyDescent="0.2">
      <c r="A230" s="172"/>
      <c r="B230" s="172"/>
      <c r="C230" s="172"/>
      <c r="D230" s="175" t="s">
        <v>94</v>
      </c>
      <c r="E230" s="180">
        <v>45061</v>
      </c>
      <c r="F230" s="203">
        <v>5.6250000000000001E-2</v>
      </c>
      <c r="G230" s="203">
        <v>7.4999999999999997E-2</v>
      </c>
      <c r="H230" s="203">
        <v>8.3500000000000005E-2</v>
      </c>
      <c r="I230" s="197">
        <v>7.6117400000000002E-2</v>
      </c>
      <c r="J230" s="197">
        <v>7.8200000000000006E-2</v>
      </c>
      <c r="K230" s="205">
        <v>3510000</v>
      </c>
      <c r="L230" s="205">
        <v>2600000</v>
      </c>
      <c r="M230" s="204">
        <f t="shared" si="34"/>
        <v>1.35</v>
      </c>
    </row>
    <row r="231" spans="1:14" s="71" customFormat="1" ht="12.75" customHeight="1" outlineLevel="1" x14ac:dyDescent="0.2">
      <c r="A231" s="172"/>
      <c r="B231" s="172"/>
      <c r="C231" s="172"/>
      <c r="D231" s="175" t="s">
        <v>98</v>
      </c>
      <c r="E231" s="180">
        <v>48714</v>
      </c>
      <c r="F231" s="203">
        <v>6.6250000000000003E-2</v>
      </c>
      <c r="G231" s="203">
        <v>8.1500000000000003E-2</v>
      </c>
      <c r="H231" s="203">
        <v>8.6400000000000005E-2</v>
      </c>
      <c r="I231" s="197">
        <v>8.2897600000000002E-2</v>
      </c>
      <c r="J231" s="197">
        <v>8.3900000000000002E-2</v>
      </c>
      <c r="K231" s="205">
        <v>3788000</v>
      </c>
      <c r="L231" s="205">
        <v>1700000</v>
      </c>
      <c r="M231" s="204">
        <f t="shared" si="34"/>
        <v>2.2282352941176469</v>
      </c>
    </row>
    <row r="232" spans="1:14" s="71" customFormat="1" ht="12.75" customHeight="1" outlineLevel="1" x14ac:dyDescent="0.2">
      <c r="A232" s="172"/>
      <c r="B232" s="172"/>
      <c r="C232" s="172"/>
      <c r="D232" s="175" t="s">
        <v>138</v>
      </c>
      <c r="E232" s="180">
        <v>50540</v>
      </c>
      <c r="F232" s="203">
        <v>7.4999999999999997E-2</v>
      </c>
      <c r="G232" s="203">
        <v>8.1500000000000003E-2</v>
      </c>
      <c r="H232" s="203">
        <v>8.6999999999999994E-2</v>
      </c>
      <c r="I232" s="197">
        <v>8.2849999999999993E-2</v>
      </c>
      <c r="J232" s="197">
        <v>8.3500000000000005E-2</v>
      </c>
      <c r="K232" s="205">
        <v>792000</v>
      </c>
      <c r="L232" s="205">
        <v>520000</v>
      </c>
      <c r="M232" s="204">
        <f t="shared" si="34"/>
        <v>1.523076923076923</v>
      </c>
    </row>
    <row r="233" spans="1:14" s="71" customFormat="1" ht="12.75" customHeight="1" outlineLevel="1" x14ac:dyDescent="0.2">
      <c r="A233" s="252" t="s">
        <v>121</v>
      </c>
      <c r="B233" s="253"/>
      <c r="C233" s="253"/>
      <c r="D233" s="253"/>
      <c r="E233" s="253"/>
      <c r="F233" s="253"/>
      <c r="G233" s="253"/>
      <c r="H233" s="253"/>
      <c r="I233" s="253"/>
      <c r="J233" s="254"/>
      <c r="K233" s="206">
        <f>SUM(K228:K232)</f>
        <v>21465000</v>
      </c>
      <c r="L233" s="206">
        <f>SUM(L228:L232)</f>
        <v>11320000</v>
      </c>
      <c r="M233" s="206"/>
    </row>
    <row r="234" spans="1:14" s="71" customFormat="1" ht="12.75" customHeight="1" outlineLevel="1" x14ac:dyDescent="0.2">
      <c r="A234" s="196">
        <v>43291</v>
      </c>
      <c r="B234" s="180">
        <v>43293</v>
      </c>
      <c r="C234" s="190" t="s">
        <v>124</v>
      </c>
      <c r="D234" s="219" t="s">
        <v>212</v>
      </c>
      <c r="E234" s="180">
        <v>43476</v>
      </c>
      <c r="F234" s="203" t="s">
        <v>134</v>
      </c>
      <c r="G234" s="203">
        <v>5.8125000000000003E-2</v>
      </c>
      <c r="H234" s="203">
        <v>7.2499999999999995E-2</v>
      </c>
      <c r="I234" s="197">
        <v>5.98869E-2</v>
      </c>
      <c r="J234" s="220"/>
      <c r="K234" s="221">
        <v>5076000</v>
      </c>
      <c r="L234" s="222">
        <v>2900000</v>
      </c>
      <c r="M234" s="223">
        <f>IF(L234=0,0,K234/L234)</f>
        <v>1.7503448275862068</v>
      </c>
    </row>
    <row r="235" spans="1:14" s="71" customFormat="1" ht="12.75" customHeight="1" outlineLevel="1" x14ac:dyDescent="0.2">
      <c r="A235" s="196"/>
      <c r="B235" s="180"/>
      <c r="C235" s="190"/>
      <c r="D235" s="219" t="s">
        <v>213</v>
      </c>
      <c r="E235" s="180">
        <v>43566</v>
      </c>
      <c r="F235" s="203" t="s">
        <v>134</v>
      </c>
      <c r="G235" s="203">
        <v>6.2812499999999993E-2</v>
      </c>
      <c r="H235" s="203">
        <v>6.6875000000000004E-2</v>
      </c>
      <c r="I235" s="197">
        <v>6.51563E-2</v>
      </c>
      <c r="J235" s="197"/>
      <c r="K235" s="183">
        <v>2790000</v>
      </c>
      <c r="L235" s="205">
        <v>1000000</v>
      </c>
      <c r="M235" s="204">
        <f>IF(L235=0,0,K235/L235)</f>
        <v>2.79</v>
      </c>
    </row>
    <row r="236" spans="1:14" s="71" customFormat="1" ht="12.75" customHeight="1" outlineLevel="1" x14ac:dyDescent="0.2">
      <c r="A236" s="172"/>
      <c r="B236" s="172"/>
      <c r="C236" s="172"/>
      <c r="D236" s="219" t="s">
        <v>150</v>
      </c>
      <c r="E236" s="180">
        <v>43905</v>
      </c>
      <c r="F236" s="203">
        <v>6.25E-2</v>
      </c>
      <c r="G236" s="203">
        <v>7.1249999999999994E-2</v>
      </c>
      <c r="H236" s="203">
        <v>7.7187500000000006E-2</v>
      </c>
      <c r="I236" s="197">
        <v>7.2082800000000002E-2</v>
      </c>
      <c r="J236" s="197"/>
      <c r="K236" s="183">
        <v>1287500</v>
      </c>
      <c r="L236" s="205">
        <v>910000</v>
      </c>
      <c r="M236" s="204">
        <f t="shared" ref="M236:M239" si="35">IF(L236=0,0,K236/L236)</f>
        <v>1.4148351648351649</v>
      </c>
    </row>
    <row r="237" spans="1:14" s="71" customFormat="1" ht="12.75" customHeight="1" outlineLevel="1" x14ac:dyDescent="0.2">
      <c r="A237" s="172"/>
      <c r="B237" s="172"/>
      <c r="C237" s="172"/>
      <c r="D237" s="219" t="s">
        <v>49</v>
      </c>
      <c r="E237" s="180">
        <v>44576</v>
      </c>
      <c r="F237" s="203">
        <v>5.45E-2</v>
      </c>
      <c r="G237" s="203">
        <v>7.1874999999999994E-2</v>
      </c>
      <c r="H237" s="203">
        <v>7.7499999999999999E-2</v>
      </c>
      <c r="I237" s="197">
        <v>7.25938E-2</v>
      </c>
      <c r="J237" s="197"/>
      <c r="K237" s="183">
        <v>3190500</v>
      </c>
      <c r="L237" s="205">
        <v>3050000</v>
      </c>
      <c r="M237" s="204">
        <f t="shared" si="35"/>
        <v>1.0460655737704918</v>
      </c>
      <c r="N237" s="186"/>
    </row>
    <row r="238" spans="1:14" s="71" customFormat="1" ht="12.75" customHeight="1" outlineLevel="1" x14ac:dyDescent="0.2">
      <c r="A238" s="172"/>
      <c r="B238" s="172"/>
      <c r="C238" s="172"/>
      <c r="D238" s="219" t="s">
        <v>152</v>
      </c>
      <c r="E238" s="180">
        <v>11642</v>
      </c>
      <c r="F238" s="203">
        <v>8.8749999999999996E-2</v>
      </c>
      <c r="G238" s="203">
        <v>8.0937499999999996E-2</v>
      </c>
      <c r="H238" s="203">
        <v>8.5312499999999999E-2</v>
      </c>
      <c r="I238" s="197">
        <v>8.1416699999999995E-2</v>
      </c>
      <c r="J238" s="197"/>
      <c r="K238" s="183">
        <v>52000</v>
      </c>
      <c r="L238" s="229">
        <v>35000</v>
      </c>
      <c r="M238" s="230">
        <f t="shared" si="35"/>
        <v>1.4857142857142858</v>
      </c>
    </row>
    <row r="239" spans="1:14" s="71" customFormat="1" ht="12.75" customHeight="1" outlineLevel="1" x14ac:dyDescent="0.2">
      <c r="A239" s="172"/>
      <c r="B239" s="172"/>
      <c r="C239" s="172"/>
      <c r="D239" s="219" t="s">
        <v>165</v>
      </c>
      <c r="E239" s="180">
        <v>53888</v>
      </c>
      <c r="F239" s="203">
        <v>0.08</v>
      </c>
      <c r="G239" s="203">
        <v>8.3125000000000004E-2</v>
      </c>
      <c r="H239" s="203">
        <v>8.6249999999999993E-2</v>
      </c>
      <c r="I239" s="197">
        <v>8.4194400000000003E-2</v>
      </c>
      <c r="J239" s="197"/>
      <c r="K239" s="183">
        <v>141000</v>
      </c>
      <c r="L239" s="229">
        <v>105000</v>
      </c>
      <c r="M239" s="230">
        <f t="shared" si="35"/>
        <v>1.3428571428571427</v>
      </c>
    </row>
    <row r="240" spans="1:14" s="71" customFormat="1" ht="12.75" customHeight="1" outlineLevel="1" x14ac:dyDescent="0.2">
      <c r="A240" s="252" t="s">
        <v>121</v>
      </c>
      <c r="B240" s="253"/>
      <c r="C240" s="253"/>
      <c r="D240" s="253"/>
      <c r="E240" s="253"/>
      <c r="F240" s="253"/>
      <c r="G240" s="253"/>
      <c r="H240" s="253"/>
      <c r="I240" s="253"/>
      <c r="J240" s="254"/>
      <c r="K240" s="206">
        <f>SUM(K234:K239)</f>
        <v>12537000</v>
      </c>
      <c r="L240" s="206">
        <f>SUM(L234:L239)</f>
        <v>8000000</v>
      </c>
      <c r="M240" s="185"/>
    </row>
    <row r="241" spans="1:14" s="71" customFormat="1" ht="12.75" customHeight="1" outlineLevel="1" x14ac:dyDescent="0.2">
      <c r="A241" s="196">
        <v>43298</v>
      </c>
      <c r="B241" s="196">
        <v>43300</v>
      </c>
      <c r="C241" s="196" t="s">
        <v>124</v>
      </c>
      <c r="D241" s="175" t="s">
        <v>214</v>
      </c>
      <c r="E241" s="180">
        <v>43391</v>
      </c>
      <c r="F241" s="203" t="s">
        <v>134</v>
      </c>
      <c r="G241" s="203">
        <v>5.1999999999999998E-2</v>
      </c>
      <c r="H241" s="197">
        <v>6.4000000000000001E-2</v>
      </c>
      <c r="I241" s="197">
        <v>5.2183300000000002E-2</v>
      </c>
      <c r="J241" s="197">
        <v>5.2999999999999999E-2</v>
      </c>
      <c r="K241" s="205">
        <v>9070000</v>
      </c>
      <c r="L241" s="205">
        <v>3000000</v>
      </c>
      <c r="M241" s="204">
        <f t="shared" ref="M241:M245" si="36">IF(L241=0,0,K241/L241)</f>
        <v>3.0233333333333334</v>
      </c>
    </row>
    <row r="242" spans="1:14" s="71" customFormat="1" ht="12.75" customHeight="1" outlineLevel="1" x14ac:dyDescent="0.2">
      <c r="A242" s="172"/>
      <c r="B242" s="172"/>
      <c r="C242" s="172"/>
      <c r="D242" s="175" t="s">
        <v>182</v>
      </c>
      <c r="E242" s="180">
        <v>43566</v>
      </c>
      <c r="F242" s="203" t="s">
        <v>134</v>
      </c>
      <c r="G242" s="203">
        <v>0.06</v>
      </c>
      <c r="H242" s="197">
        <v>7.1999999999999995E-2</v>
      </c>
      <c r="I242" s="197">
        <v>6.1576699999999998E-2</v>
      </c>
      <c r="J242" s="197">
        <v>6.25E-2</v>
      </c>
      <c r="K242" s="205">
        <v>8650000</v>
      </c>
      <c r="L242" s="205">
        <v>3000000</v>
      </c>
      <c r="M242" s="204">
        <f t="shared" si="36"/>
        <v>2.8833333333333333</v>
      </c>
    </row>
    <row r="243" spans="1:14" s="71" customFormat="1" ht="12.75" customHeight="1" outlineLevel="1" x14ac:dyDescent="0.2">
      <c r="A243" s="172"/>
      <c r="B243" s="172"/>
      <c r="C243" s="172"/>
      <c r="D243" s="175" t="s">
        <v>94</v>
      </c>
      <c r="E243" s="180">
        <v>45061</v>
      </c>
      <c r="F243" s="203">
        <v>5.6250000000000001E-2</v>
      </c>
      <c r="G243" s="203">
        <v>7.4499999999999997E-2</v>
      </c>
      <c r="H243" s="203">
        <v>0.08</v>
      </c>
      <c r="I243" s="197">
        <v>7.55633E-2</v>
      </c>
      <c r="J243" s="197">
        <v>7.5999999999999998E-2</v>
      </c>
      <c r="K243" s="205">
        <v>6792000</v>
      </c>
      <c r="L243" s="205">
        <v>4750000</v>
      </c>
      <c r="M243" s="204">
        <f t="shared" si="36"/>
        <v>1.4298947368421053</v>
      </c>
    </row>
    <row r="244" spans="1:14" s="71" customFormat="1" ht="12.75" customHeight="1" outlineLevel="1" x14ac:dyDescent="0.2">
      <c r="A244" s="172"/>
      <c r="B244" s="172"/>
      <c r="C244" s="172"/>
      <c r="D244" s="175" t="s">
        <v>95</v>
      </c>
      <c r="E244" s="180">
        <v>46888</v>
      </c>
      <c r="F244" s="203">
        <v>6.1249999999999999E-2</v>
      </c>
      <c r="G244" s="203">
        <v>7.4999999999999997E-2</v>
      </c>
      <c r="H244" s="203">
        <v>8.2500000000000004E-2</v>
      </c>
      <c r="I244" s="197">
        <v>7.5877700000000006E-2</v>
      </c>
      <c r="J244" s="197">
        <v>7.6499999999999999E-2</v>
      </c>
      <c r="K244" s="205">
        <v>8666000</v>
      </c>
      <c r="L244" s="205">
        <v>6500000</v>
      </c>
      <c r="M244" s="204">
        <f t="shared" si="36"/>
        <v>1.3332307692307692</v>
      </c>
    </row>
    <row r="245" spans="1:14" s="71" customFormat="1" ht="12.75" customHeight="1" outlineLevel="1" x14ac:dyDescent="0.2">
      <c r="A245" s="172"/>
      <c r="B245" s="172"/>
      <c r="C245" s="172"/>
      <c r="D245" s="175" t="s">
        <v>138</v>
      </c>
      <c r="E245" s="180">
        <v>50540</v>
      </c>
      <c r="F245" s="203">
        <v>7.4999999999999997E-2</v>
      </c>
      <c r="G245" s="203">
        <v>7.9200000000000007E-2</v>
      </c>
      <c r="H245" s="203">
        <v>8.7499999999999994E-2</v>
      </c>
      <c r="I245" s="197">
        <v>8.0621899999999996E-2</v>
      </c>
      <c r="J245" s="197">
        <v>8.1199999999999994E-2</v>
      </c>
      <c r="K245" s="205">
        <v>4991100</v>
      </c>
      <c r="L245" s="205">
        <v>2750000</v>
      </c>
      <c r="M245" s="204">
        <f t="shared" si="36"/>
        <v>1.8149454545454546</v>
      </c>
    </row>
    <row r="246" spans="1:14" s="71" customFormat="1" ht="12.75" customHeight="1" outlineLevel="1" x14ac:dyDescent="0.2">
      <c r="A246" s="252" t="s">
        <v>121</v>
      </c>
      <c r="B246" s="253"/>
      <c r="C246" s="253"/>
      <c r="D246" s="253"/>
      <c r="E246" s="253"/>
      <c r="F246" s="253"/>
      <c r="G246" s="253"/>
      <c r="H246" s="253"/>
      <c r="I246" s="253"/>
      <c r="J246" s="254"/>
      <c r="K246" s="206">
        <f>SUM(K241:K245)</f>
        <v>38169100</v>
      </c>
      <c r="L246" s="206">
        <f>SUM(L241:L245)</f>
        <v>20000000</v>
      </c>
      <c r="M246" s="206"/>
    </row>
    <row r="247" spans="1:14" s="71" customFormat="1" ht="12.75" customHeight="1" outlineLevel="1" x14ac:dyDescent="0.2">
      <c r="A247" s="196">
        <v>43304</v>
      </c>
      <c r="B247" s="180">
        <v>43306</v>
      </c>
      <c r="C247" s="228" t="s">
        <v>160</v>
      </c>
      <c r="D247" s="175" t="s">
        <v>47</v>
      </c>
      <c r="E247" s="180">
        <v>51971</v>
      </c>
      <c r="F247" s="203">
        <v>7.6249999999999998E-2</v>
      </c>
      <c r="G247" s="203"/>
      <c r="H247" s="203"/>
      <c r="I247" s="197"/>
      <c r="J247" s="197"/>
      <c r="K247" s="221">
        <v>300000</v>
      </c>
      <c r="L247" s="221">
        <v>300000</v>
      </c>
      <c r="M247" s="204">
        <f>IF(L247=0,0,K247/L247)</f>
        <v>1</v>
      </c>
    </row>
    <row r="248" spans="1:14" s="71" customFormat="1" ht="12.75" customHeight="1" outlineLevel="1" x14ac:dyDescent="0.2">
      <c r="A248" s="252" t="s">
        <v>121</v>
      </c>
      <c r="B248" s="253"/>
      <c r="C248" s="253"/>
      <c r="D248" s="253"/>
      <c r="E248" s="253"/>
      <c r="F248" s="253"/>
      <c r="G248" s="253"/>
      <c r="H248" s="253"/>
      <c r="I248" s="253"/>
      <c r="J248" s="254"/>
      <c r="K248" s="206">
        <f>SUM(K247:K247)</f>
        <v>300000</v>
      </c>
      <c r="L248" s="206">
        <f>SUM(L247:L247)</f>
        <v>300000</v>
      </c>
      <c r="M248" s="185"/>
    </row>
    <row r="249" spans="1:14" s="71" customFormat="1" ht="12.75" customHeight="1" outlineLevel="1" x14ac:dyDescent="0.2">
      <c r="A249" s="196">
        <v>43305</v>
      </c>
      <c r="B249" s="180">
        <v>43307</v>
      </c>
      <c r="C249" s="190" t="s">
        <v>124</v>
      </c>
      <c r="D249" s="219" t="s">
        <v>212</v>
      </c>
      <c r="E249" s="180">
        <v>43476</v>
      </c>
      <c r="F249" s="203" t="s">
        <v>134</v>
      </c>
      <c r="G249" s="203">
        <v>6.21875E-2</v>
      </c>
      <c r="H249" s="203">
        <v>7.0000000000000007E-2</v>
      </c>
      <c r="I249" s="197">
        <v>6.2326399999999997E-2</v>
      </c>
      <c r="J249" s="220"/>
      <c r="K249" s="221">
        <v>3685000</v>
      </c>
      <c r="L249" s="222">
        <v>900000</v>
      </c>
      <c r="M249" s="223">
        <f>IF(L249=0,0,K249/L249)</f>
        <v>4.0944444444444441</v>
      </c>
    </row>
    <row r="250" spans="1:14" s="71" customFormat="1" ht="12.75" customHeight="1" outlineLevel="1" x14ac:dyDescent="0.2">
      <c r="A250" s="196"/>
      <c r="B250" s="180"/>
      <c r="C250" s="190"/>
      <c r="D250" s="219" t="s">
        <v>213</v>
      </c>
      <c r="E250" s="180">
        <v>43566</v>
      </c>
      <c r="F250" s="203" t="s">
        <v>134</v>
      </c>
      <c r="G250" s="203">
        <v>6.4375000000000002E-2</v>
      </c>
      <c r="H250" s="203">
        <v>6.7187499999999997E-2</v>
      </c>
      <c r="I250" s="197">
        <v>6.4772700000000002E-2</v>
      </c>
      <c r="J250" s="197"/>
      <c r="K250" s="183">
        <v>2675000</v>
      </c>
      <c r="L250" s="205">
        <v>1100000</v>
      </c>
      <c r="M250" s="204">
        <f>IF(L250=0,0,K250/L250)</f>
        <v>2.4318181818181817</v>
      </c>
    </row>
    <row r="251" spans="1:14" s="71" customFormat="1" ht="12.75" customHeight="1" outlineLevel="1" x14ac:dyDescent="0.2">
      <c r="A251" s="172"/>
      <c r="B251" s="172"/>
      <c r="C251" s="172"/>
      <c r="D251" s="219" t="s">
        <v>150</v>
      </c>
      <c r="E251" s="180">
        <v>43905</v>
      </c>
      <c r="F251" s="203">
        <v>6.25E-2</v>
      </c>
      <c r="G251" s="203">
        <v>7.1562500000000001E-2</v>
      </c>
      <c r="H251" s="203">
        <v>8.5625000000000007E-2</v>
      </c>
      <c r="I251" s="197">
        <v>7.4407699999999993E-2</v>
      </c>
      <c r="J251" s="197"/>
      <c r="K251" s="183">
        <v>1314000</v>
      </c>
      <c r="L251" s="205">
        <v>1150000</v>
      </c>
      <c r="M251" s="204">
        <f t="shared" ref="M251:M253" si="37">IF(L251=0,0,K251/L251)</f>
        <v>1.1426086956521739</v>
      </c>
    </row>
    <row r="252" spans="1:14" s="71" customFormat="1" ht="12.75" customHeight="1" outlineLevel="1" x14ac:dyDescent="0.2">
      <c r="A252" s="172"/>
      <c r="B252" s="172"/>
      <c r="C252" s="172"/>
      <c r="D252" s="219" t="s">
        <v>49</v>
      </c>
      <c r="E252" s="180">
        <v>44576</v>
      </c>
      <c r="F252" s="203">
        <v>5.45E-2</v>
      </c>
      <c r="G252" s="203">
        <v>7.5937500000000005E-2</v>
      </c>
      <c r="H252" s="203">
        <v>7.8750000000000001E-2</v>
      </c>
      <c r="I252" s="197">
        <v>7.6297699999999996E-2</v>
      </c>
      <c r="J252" s="197"/>
      <c r="K252" s="183">
        <v>668500</v>
      </c>
      <c r="L252" s="205">
        <v>565000</v>
      </c>
      <c r="M252" s="204">
        <f t="shared" si="37"/>
        <v>1.1831858407079645</v>
      </c>
      <c r="N252" s="186"/>
    </row>
    <row r="253" spans="1:14" s="71" customFormat="1" ht="12.75" customHeight="1" outlineLevel="1" x14ac:dyDescent="0.2">
      <c r="A253" s="172"/>
      <c r="B253" s="172"/>
      <c r="C253" s="172"/>
      <c r="D253" s="219" t="s">
        <v>151</v>
      </c>
      <c r="E253" s="180">
        <v>45945</v>
      </c>
      <c r="F253" s="203">
        <v>6.1249999999999999E-2</v>
      </c>
      <c r="G253" s="203">
        <v>8.0625000000000002E-2</v>
      </c>
      <c r="H253" s="203">
        <v>8.5625000000000007E-2</v>
      </c>
      <c r="I253" s="197">
        <v>8.1499100000000005E-2</v>
      </c>
      <c r="J253" s="197"/>
      <c r="K253" s="183">
        <v>353000</v>
      </c>
      <c r="L253" s="229">
        <v>95000</v>
      </c>
      <c r="M253" s="230">
        <f t="shared" si="37"/>
        <v>3.7157894736842105</v>
      </c>
    </row>
    <row r="254" spans="1:14" s="71" customFormat="1" ht="12.75" customHeight="1" outlineLevel="1" x14ac:dyDescent="0.2">
      <c r="A254" s="172"/>
      <c r="B254" s="172"/>
      <c r="C254" s="172"/>
      <c r="D254" s="219" t="s">
        <v>152</v>
      </c>
      <c r="E254" s="180">
        <v>11642</v>
      </c>
      <c r="F254" s="203">
        <v>8.8749999999999996E-2</v>
      </c>
      <c r="G254" s="203">
        <v>8.3437499999999998E-2</v>
      </c>
      <c r="H254" s="203">
        <v>8.6249999999999993E-2</v>
      </c>
      <c r="I254" s="197">
        <v>8.5257299999999994E-2</v>
      </c>
      <c r="J254" s="197"/>
      <c r="K254" s="183">
        <v>1193900</v>
      </c>
      <c r="L254" s="229">
        <v>1000000</v>
      </c>
      <c r="M254" s="230">
        <f t="shared" ref="M254" si="38">IF(L254=0,0,K254/L254)</f>
        <v>1.1939</v>
      </c>
    </row>
    <row r="255" spans="1:14" s="71" customFormat="1" ht="12.75" customHeight="1" outlineLevel="1" x14ac:dyDescent="0.2">
      <c r="A255" s="252" t="s">
        <v>121</v>
      </c>
      <c r="B255" s="253"/>
      <c r="C255" s="253"/>
      <c r="D255" s="253"/>
      <c r="E255" s="253"/>
      <c r="F255" s="253"/>
      <c r="G255" s="253"/>
      <c r="H255" s="253"/>
      <c r="I255" s="253"/>
      <c r="J255" s="254"/>
      <c r="K255" s="206">
        <f>SUM(K249:K254)</f>
        <v>9889400</v>
      </c>
      <c r="L255" s="206">
        <f>SUM(L249:L254)</f>
        <v>4810000</v>
      </c>
      <c r="M255" s="185"/>
    </row>
    <row r="256" spans="1:14" s="71" customFormat="1" ht="12.75" customHeight="1" outlineLevel="1" x14ac:dyDescent="0.2">
      <c r="A256" s="196">
        <v>43305</v>
      </c>
      <c r="B256" s="180">
        <v>43308</v>
      </c>
      <c r="C256" s="228" t="s">
        <v>160</v>
      </c>
      <c r="D256" s="175" t="s">
        <v>194</v>
      </c>
      <c r="E256" s="180">
        <v>46888</v>
      </c>
      <c r="F256" s="203">
        <v>7.6249999999999998E-2</v>
      </c>
      <c r="G256" s="203"/>
      <c r="H256" s="203"/>
      <c r="I256" s="197"/>
      <c r="J256" s="197"/>
      <c r="K256" s="221">
        <v>1000000</v>
      </c>
      <c r="L256" s="221">
        <v>1000000</v>
      </c>
      <c r="M256" s="204">
        <f>IF(L256=0,0,K256/L256)</f>
        <v>1</v>
      </c>
    </row>
    <row r="257" spans="1:15" s="71" customFormat="1" ht="12.75" customHeight="1" outlineLevel="1" x14ac:dyDescent="0.2">
      <c r="A257" s="252" t="s">
        <v>121</v>
      </c>
      <c r="B257" s="253"/>
      <c r="C257" s="253"/>
      <c r="D257" s="253"/>
      <c r="E257" s="253"/>
      <c r="F257" s="253"/>
      <c r="G257" s="253"/>
      <c r="H257" s="253"/>
      <c r="I257" s="253"/>
      <c r="J257" s="254"/>
      <c r="K257" s="206">
        <f>SUM(K256:K256)</f>
        <v>1000000</v>
      </c>
      <c r="L257" s="206">
        <f>SUM(L256:L256)</f>
        <v>1000000</v>
      </c>
      <c r="M257" s="185"/>
    </row>
    <row r="258" spans="1:15" s="71" customFormat="1" ht="12.75" customHeight="1" outlineLevel="1" x14ac:dyDescent="0.2">
      <c r="A258" s="196">
        <v>43306</v>
      </c>
      <c r="B258" s="180">
        <v>43308</v>
      </c>
      <c r="C258" s="228" t="s">
        <v>160</v>
      </c>
      <c r="D258" s="175" t="s">
        <v>53</v>
      </c>
      <c r="E258" s="180">
        <v>50086</v>
      </c>
      <c r="F258" s="203">
        <v>6.0999999999999999E-2</v>
      </c>
      <c r="G258" s="203"/>
      <c r="H258" s="203"/>
      <c r="I258" s="197"/>
      <c r="J258" s="197"/>
      <c r="K258" s="221">
        <v>350000</v>
      </c>
      <c r="L258" s="221">
        <v>350000</v>
      </c>
      <c r="M258" s="204">
        <f>IF(L258=0,0,K258/L258)</f>
        <v>1</v>
      </c>
    </row>
    <row r="259" spans="1:15" s="71" customFormat="1" ht="12.75" customHeight="1" outlineLevel="1" x14ac:dyDescent="0.2">
      <c r="A259" s="252" t="s">
        <v>121</v>
      </c>
      <c r="B259" s="253"/>
      <c r="C259" s="253"/>
      <c r="D259" s="253"/>
      <c r="E259" s="253"/>
      <c r="F259" s="253"/>
      <c r="G259" s="253"/>
      <c r="H259" s="253"/>
      <c r="I259" s="253"/>
      <c r="J259" s="254"/>
      <c r="K259" s="206">
        <f>SUM(K258:K258)</f>
        <v>350000</v>
      </c>
      <c r="L259" s="206">
        <f>SUM(L258:L258)</f>
        <v>350000</v>
      </c>
      <c r="M259" s="185"/>
    </row>
    <row r="260" spans="1:15" s="198" customFormat="1" ht="12.75" customHeight="1" x14ac:dyDescent="0.2">
      <c r="A260" s="255" t="s">
        <v>209</v>
      </c>
      <c r="B260" s="256"/>
      <c r="C260" s="256"/>
      <c r="D260" s="256"/>
      <c r="E260" s="256"/>
      <c r="F260" s="256"/>
      <c r="G260" s="256"/>
      <c r="H260" s="256"/>
      <c r="I260" s="256"/>
      <c r="J260" s="257"/>
      <c r="K260" s="202">
        <f>K227+K233+K240+K246+K248+K255+K257+K259</f>
        <v>84710500</v>
      </c>
      <c r="L260" s="202">
        <f>L227+L233+L240+L246+L248+L255+L257+L259</f>
        <v>46780000</v>
      </c>
      <c r="M260" s="201"/>
      <c r="O260" s="199"/>
    </row>
    <row r="261" spans="1:15" s="198" customFormat="1" ht="12.75" customHeight="1" x14ac:dyDescent="0.2">
      <c r="A261" s="255" t="s">
        <v>218</v>
      </c>
      <c r="B261" s="256"/>
      <c r="C261" s="256"/>
      <c r="D261" s="256"/>
      <c r="E261" s="256"/>
      <c r="F261" s="256"/>
      <c r="G261" s="256"/>
      <c r="H261" s="256"/>
      <c r="I261" s="256"/>
      <c r="J261" s="257"/>
      <c r="K261" s="202">
        <f>SUM(K225,K260)</f>
        <v>908090686</v>
      </c>
      <c r="L261" s="202">
        <f>SUM(L225,L260)</f>
        <v>500571900</v>
      </c>
      <c r="M261" s="201"/>
      <c r="N261" s="39"/>
    </row>
    <row r="262" spans="1:15" s="71" customFormat="1" ht="12.75" customHeight="1" outlineLevel="1" x14ac:dyDescent="0.2">
      <c r="A262" s="196">
        <v>43312</v>
      </c>
      <c r="B262" s="196">
        <v>43314</v>
      </c>
      <c r="C262" s="196" t="s">
        <v>124</v>
      </c>
      <c r="D262" s="175" t="s">
        <v>215</v>
      </c>
      <c r="E262" s="180">
        <v>43405</v>
      </c>
      <c r="F262" s="203" t="s">
        <v>134</v>
      </c>
      <c r="G262" s="203">
        <v>5.0999999999999997E-2</v>
      </c>
      <c r="H262" s="197">
        <v>5.6500000000000002E-2</v>
      </c>
      <c r="I262" s="197">
        <v>5.2040000000000003E-2</v>
      </c>
      <c r="J262" s="197">
        <v>5.2499999999999998E-2</v>
      </c>
      <c r="K262" s="205">
        <v>7220000</v>
      </c>
      <c r="L262" s="205">
        <v>3000000</v>
      </c>
      <c r="M262" s="204">
        <f t="shared" ref="M262:M266" si="39">IF(L262=0,0,K262/L262)</f>
        <v>2.4066666666666667</v>
      </c>
    </row>
    <row r="263" spans="1:15" s="71" customFormat="1" ht="12.75" customHeight="1" outlineLevel="1" x14ac:dyDescent="0.2">
      <c r="A263" s="172"/>
      <c r="B263" s="172"/>
      <c r="C263" s="172"/>
      <c r="D263" s="175" t="s">
        <v>216</v>
      </c>
      <c r="E263" s="180">
        <v>43678</v>
      </c>
      <c r="F263" s="203" t="s">
        <v>134</v>
      </c>
      <c r="G263" s="203">
        <v>6.0999999999999999E-2</v>
      </c>
      <c r="H263" s="197">
        <v>7.0000000000000007E-2</v>
      </c>
      <c r="I263" s="197">
        <v>6.1650000000000003E-2</v>
      </c>
      <c r="J263" s="197">
        <v>6.2E-2</v>
      </c>
      <c r="K263" s="205">
        <v>14215000</v>
      </c>
      <c r="L263" s="205">
        <v>3000000</v>
      </c>
      <c r="M263" s="204">
        <f t="shared" si="39"/>
        <v>4.7383333333333333</v>
      </c>
    </row>
    <row r="264" spans="1:15" s="71" customFormat="1" ht="12.75" customHeight="1" outlineLevel="1" x14ac:dyDescent="0.2">
      <c r="A264" s="172"/>
      <c r="B264" s="172"/>
      <c r="C264" s="172"/>
      <c r="D264" s="175" t="s">
        <v>94</v>
      </c>
      <c r="E264" s="180">
        <v>45061</v>
      </c>
      <c r="F264" s="203">
        <v>5.6250000000000001E-2</v>
      </c>
      <c r="G264" s="203">
        <v>7.5600000000000001E-2</v>
      </c>
      <c r="H264" s="203">
        <v>0.08</v>
      </c>
      <c r="I264" s="197">
        <v>7.6705200000000001E-2</v>
      </c>
      <c r="J264" s="197">
        <v>7.7200000000000005E-2</v>
      </c>
      <c r="K264" s="205">
        <v>12048000</v>
      </c>
      <c r="L264" s="205">
        <v>7750000</v>
      </c>
      <c r="M264" s="204">
        <f t="shared" si="39"/>
        <v>1.5545806451612902</v>
      </c>
    </row>
    <row r="265" spans="1:15" s="71" customFormat="1" ht="12.75" customHeight="1" outlineLevel="1" x14ac:dyDescent="0.2">
      <c r="A265" s="172"/>
      <c r="B265" s="172"/>
      <c r="C265" s="172"/>
      <c r="D265" s="175" t="s">
        <v>95</v>
      </c>
      <c r="E265" s="180">
        <v>46888</v>
      </c>
      <c r="F265" s="203">
        <v>6.1249999999999999E-2</v>
      </c>
      <c r="G265" s="203">
        <v>7.7200000000000005E-2</v>
      </c>
      <c r="H265" s="203">
        <v>8.8999999999999996E-2</v>
      </c>
      <c r="I265" s="197">
        <v>7.8095899999999996E-2</v>
      </c>
      <c r="J265" s="197">
        <v>7.85E-2</v>
      </c>
      <c r="K265" s="205">
        <v>7628500</v>
      </c>
      <c r="L265" s="205">
        <v>4200000</v>
      </c>
      <c r="M265" s="204">
        <f t="shared" si="39"/>
        <v>1.8163095238095237</v>
      </c>
    </row>
    <row r="266" spans="1:15" s="71" customFormat="1" ht="12.75" customHeight="1" outlineLevel="1" x14ac:dyDescent="0.2">
      <c r="A266" s="172"/>
      <c r="B266" s="172"/>
      <c r="C266" s="172"/>
      <c r="D266" s="175" t="s">
        <v>98</v>
      </c>
      <c r="E266" s="180">
        <v>48714</v>
      </c>
      <c r="F266" s="203">
        <v>6.6250000000000003E-2</v>
      </c>
      <c r="G266" s="203">
        <v>8.1500000000000003E-2</v>
      </c>
      <c r="H266" s="203">
        <v>8.7499999999999994E-2</v>
      </c>
      <c r="I266" s="197">
        <v>8.2167500000000004E-2</v>
      </c>
      <c r="J266" s="197">
        <v>8.2500000000000004E-2</v>
      </c>
      <c r="K266" s="205">
        <v>4329500</v>
      </c>
      <c r="L266" s="205">
        <v>2050000</v>
      </c>
      <c r="M266" s="204">
        <f t="shared" si="39"/>
        <v>2.111951219512195</v>
      </c>
    </row>
    <row r="267" spans="1:15" s="71" customFormat="1" ht="12.75" customHeight="1" outlineLevel="1" x14ac:dyDescent="0.2">
      <c r="A267" s="252" t="s">
        <v>121</v>
      </c>
      <c r="B267" s="253"/>
      <c r="C267" s="253"/>
      <c r="D267" s="253"/>
      <c r="E267" s="253"/>
      <c r="F267" s="253"/>
      <c r="G267" s="253"/>
      <c r="H267" s="253"/>
      <c r="I267" s="253"/>
      <c r="J267" s="254"/>
      <c r="K267" s="206">
        <f>SUM(K262:K266)</f>
        <v>45441000</v>
      </c>
      <c r="L267" s="206">
        <f>SUM(L262:L266)</f>
        <v>20000000</v>
      </c>
      <c r="M267" s="206"/>
    </row>
    <row r="268" spans="1:15" s="71" customFormat="1" ht="12.75" customHeight="1" outlineLevel="1" x14ac:dyDescent="0.2">
      <c r="A268" s="196">
        <v>43319</v>
      </c>
      <c r="B268" s="180">
        <v>43321</v>
      </c>
      <c r="C268" s="190" t="s">
        <v>124</v>
      </c>
      <c r="D268" s="219" t="s">
        <v>219</v>
      </c>
      <c r="E268" s="180">
        <v>43504</v>
      </c>
      <c r="F268" s="203" t="s">
        <v>134</v>
      </c>
      <c r="G268" s="203">
        <v>6.1249999999999999E-2</v>
      </c>
      <c r="H268" s="203">
        <v>6.7500000000000004E-2</v>
      </c>
      <c r="I268" s="197">
        <v>6.2371299999999998E-2</v>
      </c>
      <c r="J268" s="220"/>
      <c r="K268" s="221">
        <v>3616000</v>
      </c>
      <c r="L268" s="222">
        <v>850000</v>
      </c>
      <c r="M268" s="223">
        <f>IF(L268=0,0,K268/L268)</f>
        <v>4.2541176470588233</v>
      </c>
    </row>
    <row r="269" spans="1:15" s="71" customFormat="1" ht="12.75" customHeight="1" outlineLevel="1" x14ac:dyDescent="0.2">
      <c r="A269" s="196"/>
      <c r="B269" s="180"/>
      <c r="C269" s="190"/>
      <c r="D269" s="219" t="s">
        <v>220</v>
      </c>
      <c r="E269" s="180">
        <v>43593</v>
      </c>
      <c r="F269" s="203" t="s">
        <v>134</v>
      </c>
      <c r="G269" s="203">
        <v>6.4375000000000002E-2</v>
      </c>
      <c r="H269" s="203">
        <v>7.0000000000000007E-2</v>
      </c>
      <c r="I269" s="197">
        <v>6.4687499999999995E-2</v>
      </c>
      <c r="J269" s="197"/>
      <c r="K269" s="183">
        <v>2765000</v>
      </c>
      <c r="L269" s="205">
        <v>1200000</v>
      </c>
      <c r="M269" s="204">
        <f>IF(L269=0,0,K269/L269)</f>
        <v>2.3041666666666667</v>
      </c>
    </row>
    <row r="270" spans="1:15" s="71" customFormat="1" ht="12.75" customHeight="1" outlineLevel="1" x14ac:dyDescent="0.2">
      <c r="A270" s="172"/>
      <c r="B270" s="172"/>
      <c r="C270" s="172"/>
      <c r="D270" s="219" t="s">
        <v>150</v>
      </c>
      <c r="E270" s="180">
        <v>43905</v>
      </c>
      <c r="F270" s="203">
        <v>6.25E-2</v>
      </c>
      <c r="G270" s="203">
        <v>7.4062500000000003E-2</v>
      </c>
      <c r="H270" s="203">
        <v>8.1250000000000003E-2</v>
      </c>
      <c r="I270" s="197">
        <v>7.5198399999999999E-2</v>
      </c>
      <c r="J270" s="197"/>
      <c r="K270" s="183">
        <v>2165000</v>
      </c>
      <c r="L270" s="205">
        <v>1460000</v>
      </c>
      <c r="M270" s="204">
        <f t="shared" ref="M270:M273" si="40">IF(L270=0,0,K270/L270)</f>
        <v>1.4828767123287672</v>
      </c>
    </row>
    <row r="271" spans="1:15" s="71" customFormat="1" ht="12.75" customHeight="1" outlineLevel="1" x14ac:dyDescent="0.2">
      <c r="A271" s="172"/>
      <c r="B271" s="172"/>
      <c r="C271" s="172"/>
      <c r="D271" s="219" t="s">
        <v>49</v>
      </c>
      <c r="E271" s="180">
        <v>44576</v>
      </c>
      <c r="F271" s="203">
        <v>5.45E-2</v>
      </c>
      <c r="G271" s="203">
        <v>7.6249999999999998E-2</v>
      </c>
      <c r="H271" s="203">
        <v>7.8125E-2</v>
      </c>
      <c r="I271" s="197">
        <v>7.6600000000000001E-2</v>
      </c>
      <c r="J271" s="197"/>
      <c r="K271" s="183">
        <v>933000</v>
      </c>
      <c r="L271" s="205">
        <v>900000</v>
      </c>
      <c r="M271" s="204">
        <f t="shared" si="40"/>
        <v>1.0366666666666666</v>
      </c>
      <c r="N271" s="186"/>
    </row>
    <row r="272" spans="1:15" s="71" customFormat="1" ht="12.75" customHeight="1" outlineLevel="1" x14ac:dyDescent="0.2">
      <c r="A272" s="172"/>
      <c r="B272" s="172"/>
      <c r="C272" s="172"/>
      <c r="D272" s="219" t="s">
        <v>152</v>
      </c>
      <c r="E272" s="180">
        <v>11642</v>
      </c>
      <c r="F272" s="203">
        <v>8.8749999999999996E-2</v>
      </c>
      <c r="G272" s="203">
        <v>8.4062499999999998E-2</v>
      </c>
      <c r="H272" s="203">
        <v>8.9062500000000003E-2</v>
      </c>
      <c r="I272" s="197">
        <v>8.5395799999999994E-2</v>
      </c>
      <c r="J272" s="197"/>
      <c r="K272" s="183">
        <v>928000</v>
      </c>
      <c r="L272" s="229">
        <v>420000</v>
      </c>
      <c r="M272" s="230">
        <f t="shared" ref="M272" si="41">IF(L272=0,0,K272/L272)</f>
        <v>2.2095238095238097</v>
      </c>
    </row>
    <row r="273" spans="1:13" s="71" customFormat="1" ht="12.75" customHeight="1" outlineLevel="1" x14ac:dyDescent="0.2">
      <c r="A273" s="172"/>
      <c r="B273" s="172"/>
      <c r="C273" s="172"/>
      <c r="D273" s="219" t="s">
        <v>165</v>
      </c>
      <c r="E273" s="180">
        <v>53888</v>
      </c>
      <c r="F273" s="203">
        <v>0.08</v>
      </c>
      <c r="G273" s="203">
        <v>8.6562500000000001E-2</v>
      </c>
      <c r="H273" s="203">
        <v>8.9687500000000003E-2</v>
      </c>
      <c r="I273" s="197">
        <v>8.7629499999999999E-2</v>
      </c>
      <c r="J273" s="197"/>
      <c r="K273" s="183">
        <v>492000</v>
      </c>
      <c r="L273" s="229">
        <v>340000</v>
      </c>
      <c r="M273" s="230">
        <f t="shared" si="40"/>
        <v>1.4470588235294117</v>
      </c>
    </row>
    <row r="274" spans="1:13" s="71" customFormat="1" ht="12.75" customHeight="1" outlineLevel="1" x14ac:dyDescent="0.2">
      <c r="A274" s="252" t="s">
        <v>121</v>
      </c>
      <c r="B274" s="253"/>
      <c r="C274" s="253"/>
      <c r="D274" s="253"/>
      <c r="E274" s="253"/>
      <c r="F274" s="253"/>
      <c r="G274" s="253"/>
      <c r="H274" s="253"/>
      <c r="I274" s="253"/>
      <c r="J274" s="254"/>
      <c r="K274" s="206">
        <f>SUM(K268:K273)</f>
        <v>10899000</v>
      </c>
      <c r="L274" s="206">
        <f>SUM(L268:L273)</f>
        <v>5170000</v>
      </c>
      <c r="M274" s="185"/>
    </row>
    <row r="275" spans="1:13" s="71" customFormat="1" ht="12.75" customHeight="1" outlineLevel="1" x14ac:dyDescent="0.2">
      <c r="A275" s="196">
        <v>43319</v>
      </c>
      <c r="B275" s="180">
        <v>43321</v>
      </c>
      <c r="C275" s="228" t="s">
        <v>160</v>
      </c>
      <c r="D275" s="175" t="s">
        <v>221</v>
      </c>
      <c r="E275" s="180">
        <v>48441</v>
      </c>
      <c r="F275" s="203">
        <v>7.4999999999999997E-2</v>
      </c>
      <c r="G275" s="203"/>
      <c r="H275" s="203"/>
      <c r="I275" s="197"/>
      <c r="J275" s="197"/>
      <c r="K275" s="221">
        <v>1500000</v>
      </c>
      <c r="L275" s="221">
        <v>1500000</v>
      </c>
      <c r="M275" s="204">
        <f>IF(L275=0,0,K275/L275)</f>
        <v>1</v>
      </c>
    </row>
    <row r="276" spans="1:13" s="71" customFormat="1" ht="12.75" customHeight="1" outlineLevel="1" x14ac:dyDescent="0.2">
      <c r="A276" s="252" t="s">
        <v>121</v>
      </c>
      <c r="B276" s="253"/>
      <c r="C276" s="253"/>
      <c r="D276" s="253"/>
      <c r="E276" s="253"/>
      <c r="F276" s="253"/>
      <c r="G276" s="253"/>
      <c r="H276" s="253"/>
      <c r="I276" s="253"/>
      <c r="J276" s="254"/>
      <c r="K276" s="206">
        <f>SUM(K275:K275)</f>
        <v>1500000</v>
      </c>
      <c r="L276" s="206">
        <f>SUM(L275:L275)</f>
        <v>1500000</v>
      </c>
      <c r="M276" s="185"/>
    </row>
    <row r="277" spans="1:13" s="71" customFormat="1" ht="12.75" customHeight="1" outlineLevel="1" x14ac:dyDescent="0.2">
      <c r="A277" s="196">
        <v>43319</v>
      </c>
      <c r="B277" s="180">
        <v>43322</v>
      </c>
      <c r="C277" s="228" t="s">
        <v>160</v>
      </c>
      <c r="D277" s="175" t="s">
        <v>50</v>
      </c>
      <c r="E277" s="180">
        <v>46402</v>
      </c>
      <c r="F277" s="203">
        <v>0.06</v>
      </c>
      <c r="G277" s="203"/>
      <c r="H277" s="203"/>
      <c r="I277" s="197"/>
      <c r="J277" s="197"/>
      <c r="K277" s="221">
        <v>500000</v>
      </c>
      <c r="L277" s="221">
        <v>500000</v>
      </c>
      <c r="M277" s="204">
        <f>IF(L277=0,0,K277/L277)</f>
        <v>1</v>
      </c>
    </row>
    <row r="278" spans="1:13" s="71" customFormat="1" ht="12.75" customHeight="1" outlineLevel="1" x14ac:dyDescent="0.2">
      <c r="A278" s="252" t="s">
        <v>121</v>
      </c>
      <c r="B278" s="253"/>
      <c r="C278" s="253"/>
      <c r="D278" s="253"/>
      <c r="E278" s="253"/>
      <c r="F278" s="253"/>
      <c r="G278" s="253"/>
      <c r="H278" s="253"/>
      <c r="I278" s="253"/>
      <c r="J278" s="254"/>
      <c r="K278" s="206">
        <f>SUM(K277:K277)</f>
        <v>500000</v>
      </c>
      <c r="L278" s="206">
        <f>SUM(L277:L277)</f>
        <v>500000</v>
      </c>
      <c r="M278" s="185"/>
    </row>
    <row r="279" spans="1:13" s="71" customFormat="1" ht="12.75" customHeight="1" outlineLevel="1" x14ac:dyDescent="0.2">
      <c r="A279" s="196">
        <v>43320</v>
      </c>
      <c r="B279" s="180">
        <v>43322</v>
      </c>
      <c r="C279" s="228" t="s">
        <v>160</v>
      </c>
      <c r="D279" s="175" t="s">
        <v>35</v>
      </c>
      <c r="E279" s="180">
        <v>44696</v>
      </c>
      <c r="F279" s="203">
        <v>7.0000000000000007E-2</v>
      </c>
      <c r="G279" s="203"/>
      <c r="H279" s="203"/>
      <c r="I279" s="197"/>
      <c r="J279" s="197"/>
      <c r="K279" s="221">
        <v>1000000</v>
      </c>
      <c r="L279" s="221">
        <v>1000000</v>
      </c>
      <c r="M279" s="204">
        <f>IF(L279=0,0,K279/L279)</f>
        <v>1</v>
      </c>
    </row>
    <row r="280" spans="1:13" s="71" customFormat="1" ht="12.75" customHeight="1" outlineLevel="1" x14ac:dyDescent="0.2">
      <c r="A280" s="252" t="s">
        <v>121</v>
      </c>
      <c r="B280" s="253"/>
      <c r="C280" s="253"/>
      <c r="D280" s="253"/>
      <c r="E280" s="253"/>
      <c r="F280" s="253"/>
      <c r="G280" s="253"/>
      <c r="H280" s="253"/>
      <c r="I280" s="253"/>
      <c r="J280" s="254"/>
      <c r="K280" s="206">
        <f>SUM(K279:K279)</f>
        <v>1000000</v>
      </c>
      <c r="L280" s="206">
        <f>SUM(L279:L279)</f>
        <v>1000000</v>
      </c>
      <c r="M280" s="185"/>
    </row>
    <row r="281" spans="1:13" s="71" customFormat="1" ht="12.75" customHeight="1" outlineLevel="1" x14ac:dyDescent="0.2">
      <c r="A281" s="196">
        <v>43320</v>
      </c>
      <c r="B281" s="180">
        <v>43325</v>
      </c>
      <c r="C281" s="228" t="s">
        <v>160</v>
      </c>
      <c r="D281" s="175" t="s">
        <v>222</v>
      </c>
      <c r="E281" s="180">
        <v>52336</v>
      </c>
      <c r="F281" s="203">
        <v>6.7500000000000004E-2</v>
      </c>
      <c r="G281" s="203"/>
      <c r="H281" s="203"/>
      <c r="I281" s="197"/>
      <c r="J281" s="197"/>
      <c r="K281" s="221">
        <v>500000</v>
      </c>
      <c r="L281" s="221">
        <v>500000</v>
      </c>
      <c r="M281" s="204">
        <f>IF(L281=0,0,K281/L281)</f>
        <v>1</v>
      </c>
    </row>
    <row r="282" spans="1:13" s="71" customFormat="1" ht="12.75" customHeight="1" outlineLevel="1" x14ac:dyDescent="0.2">
      <c r="A282" s="252" t="s">
        <v>121</v>
      </c>
      <c r="B282" s="253"/>
      <c r="C282" s="253"/>
      <c r="D282" s="253"/>
      <c r="E282" s="253"/>
      <c r="F282" s="253"/>
      <c r="G282" s="253"/>
      <c r="H282" s="253"/>
      <c r="I282" s="253"/>
      <c r="J282" s="254"/>
      <c r="K282" s="206">
        <f>SUM(K281:K281)</f>
        <v>500000</v>
      </c>
      <c r="L282" s="206">
        <f>SUM(L281:L281)</f>
        <v>500000</v>
      </c>
      <c r="M282" s="185"/>
    </row>
    <row r="283" spans="1:13" s="71" customFormat="1" ht="12.75" customHeight="1" outlineLevel="1" x14ac:dyDescent="0.2">
      <c r="A283" s="196">
        <v>43326</v>
      </c>
      <c r="B283" s="196">
        <v>43328</v>
      </c>
      <c r="C283" s="196" t="s">
        <v>124</v>
      </c>
      <c r="D283" s="175" t="s">
        <v>140</v>
      </c>
      <c r="E283" s="180">
        <v>43419</v>
      </c>
      <c r="F283" s="203" t="s">
        <v>134</v>
      </c>
      <c r="G283" s="203">
        <v>5.0999999999999997E-2</v>
      </c>
      <c r="H283" s="197">
        <v>6.0999999999999999E-2</v>
      </c>
      <c r="I283" s="197">
        <v>5.2479999999999999E-2</v>
      </c>
      <c r="J283" s="197">
        <v>5.2999999999999999E-2</v>
      </c>
      <c r="K283" s="205">
        <v>8179000</v>
      </c>
      <c r="L283" s="205">
        <v>3000000</v>
      </c>
      <c r="M283" s="204">
        <f t="shared" ref="M283:M288" si="42">IF(L283=0,0,K283/L283)</f>
        <v>2.7263333333333333</v>
      </c>
    </row>
    <row r="284" spans="1:13" s="71" customFormat="1" ht="12.75" customHeight="1" outlineLevel="1" x14ac:dyDescent="0.2">
      <c r="A284" s="172"/>
      <c r="B284" s="172"/>
      <c r="C284" s="172"/>
      <c r="D284" s="175" t="s">
        <v>207</v>
      </c>
      <c r="E284" s="180">
        <v>43622</v>
      </c>
      <c r="F284" s="203" t="s">
        <v>134</v>
      </c>
      <c r="G284" s="203">
        <v>0.06</v>
      </c>
      <c r="H284" s="197">
        <v>6.7500000000000004E-2</v>
      </c>
      <c r="I284" s="197">
        <v>6.0999999999999999E-2</v>
      </c>
      <c r="J284" s="197">
        <v>6.1800000000000001E-2</v>
      </c>
      <c r="K284" s="205">
        <v>7545000</v>
      </c>
      <c r="L284" s="205">
        <v>3000000</v>
      </c>
      <c r="M284" s="204">
        <f t="shared" si="42"/>
        <v>2.5150000000000001</v>
      </c>
    </row>
    <row r="285" spans="1:13" s="71" customFormat="1" ht="12.75" customHeight="1" outlineLevel="1" x14ac:dyDescent="0.2">
      <c r="A285" s="172"/>
      <c r="B285" s="172"/>
      <c r="C285" s="172"/>
      <c r="D285" s="175" t="s">
        <v>94</v>
      </c>
      <c r="E285" s="180">
        <v>45061</v>
      </c>
      <c r="F285" s="203">
        <v>5.6250000000000001E-2</v>
      </c>
      <c r="G285" s="203">
        <v>7.7700000000000005E-2</v>
      </c>
      <c r="H285" s="203">
        <v>8.2500000000000004E-2</v>
      </c>
      <c r="I285" s="197">
        <v>7.8693100000000002E-2</v>
      </c>
      <c r="J285" s="197">
        <v>7.9500000000000001E-2</v>
      </c>
      <c r="K285" s="205">
        <v>6703000</v>
      </c>
      <c r="L285" s="205">
        <v>3950000</v>
      </c>
      <c r="M285" s="204">
        <f t="shared" si="42"/>
        <v>1.6969620253164557</v>
      </c>
    </row>
    <row r="286" spans="1:13" s="71" customFormat="1" ht="12.75" customHeight="1" outlineLevel="1" x14ac:dyDescent="0.2">
      <c r="A286" s="172"/>
      <c r="B286" s="172"/>
      <c r="C286" s="172"/>
      <c r="D286" s="175" t="s">
        <v>95</v>
      </c>
      <c r="E286" s="180">
        <v>46888</v>
      </c>
      <c r="F286" s="203">
        <v>6.1249999999999999E-2</v>
      </c>
      <c r="G286" s="203">
        <v>7.9600000000000004E-2</v>
      </c>
      <c r="H286" s="203">
        <v>8.2500000000000004E-2</v>
      </c>
      <c r="I286" s="197">
        <v>8.0698000000000006E-2</v>
      </c>
      <c r="J286" s="197">
        <v>8.1000000000000003E-2</v>
      </c>
      <c r="K286" s="205">
        <v>5798000</v>
      </c>
      <c r="L286" s="205">
        <v>3100000</v>
      </c>
      <c r="M286" s="204">
        <f t="shared" si="42"/>
        <v>1.8703225806451613</v>
      </c>
    </row>
    <row r="287" spans="1:13" s="71" customFormat="1" ht="12.75" customHeight="1" outlineLevel="1" x14ac:dyDescent="0.2">
      <c r="A287" s="172"/>
      <c r="B287" s="172"/>
      <c r="C287" s="172"/>
      <c r="D287" s="175" t="s">
        <v>98</v>
      </c>
      <c r="E287" s="180">
        <v>48714</v>
      </c>
      <c r="F287" s="203">
        <v>6.6250000000000003E-2</v>
      </c>
      <c r="G287" s="203">
        <v>8.3000000000000004E-2</v>
      </c>
      <c r="H287" s="203">
        <v>8.7499999999999994E-2</v>
      </c>
      <c r="I287" s="197">
        <v>8.4398200000000007E-2</v>
      </c>
      <c r="J287" s="197">
        <v>8.5000000000000006E-2</v>
      </c>
      <c r="K287" s="205">
        <v>4308000</v>
      </c>
      <c r="L287" s="205">
        <v>3000000</v>
      </c>
      <c r="M287" s="204">
        <f t="shared" si="42"/>
        <v>1.4359999999999999</v>
      </c>
    </row>
    <row r="288" spans="1:13" s="71" customFormat="1" ht="12.75" customHeight="1" outlineLevel="1" x14ac:dyDescent="0.2">
      <c r="A288" s="172"/>
      <c r="B288" s="172"/>
      <c r="C288" s="172"/>
      <c r="D288" s="175" t="s">
        <v>138</v>
      </c>
      <c r="E288" s="180">
        <v>50540</v>
      </c>
      <c r="F288" s="203">
        <v>7.4999999999999997E-2</v>
      </c>
      <c r="G288" s="203">
        <v>8.3400000000000002E-2</v>
      </c>
      <c r="H288" s="203">
        <v>0.09</v>
      </c>
      <c r="I288" s="197">
        <v>8.48357E-2</v>
      </c>
      <c r="J288" s="197">
        <v>8.5000000000000006E-2</v>
      </c>
      <c r="K288" s="205">
        <v>1843800</v>
      </c>
      <c r="L288" s="205">
        <v>450000</v>
      </c>
      <c r="M288" s="204">
        <f t="shared" si="42"/>
        <v>4.0973333333333333</v>
      </c>
    </row>
    <row r="289" spans="1:14" s="71" customFormat="1" ht="12.75" customHeight="1" outlineLevel="1" x14ac:dyDescent="0.2">
      <c r="A289" s="252" t="s">
        <v>121</v>
      </c>
      <c r="B289" s="253"/>
      <c r="C289" s="253"/>
      <c r="D289" s="253"/>
      <c r="E289" s="253"/>
      <c r="F289" s="253"/>
      <c r="G289" s="253"/>
      <c r="H289" s="253"/>
      <c r="I289" s="253"/>
      <c r="J289" s="254"/>
      <c r="K289" s="206">
        <f>SUM(K283:K288)</f>
        <v>34376800</v>
      </c>
      <c r="L289" s="206">
        <f>SUM(L283:L288)</f>
        <v>16500000</v>
      </c>
      <c r="M289" s="185"/>
    </row>
    <row r="290" spans="1:14" s="71" customFormat="1" ht="12.75" customHeight="1" outlineLevel="1" x14ac:dyDescent="0.2">
      <c r="A290" s="196">
        <v>43327</v>
      </c>
      <c r="B290" s="180">
        <v>43332</v>
      </c>
      <c r="C290" s="228" t="s">
        <v>160</v>
      </c>
      <c r="D290" s="175" t="s">
        <v>221</v>
      </c>
      <c r="E290" s="180">
        <v>48441</v>
      </c>
      <c r="F290" s="203">
        <v>7.4999999999999997E-2</v>
      </c>
      <c r="G290" s="203"/>
      <c r="H290" s="203"/>
      <c r="I290" s="197"/>
      <c r="J290" s="197"/>
      <c r="K290" s="221">
        <v>750000</v>
      </c>
      <c r="L290" s="221">
        <v>750000</v>
      </c>
      <c r="M290" s="204">
        <f>IF(L290=0,0,K290/L290)</f>
        <v>1</v>
      </c>
    </row>
    <row r="291" spans="1:14" s="71" customFormat="1" ht="12.75" customHeight="1" outlineLevel="1" x14ac:dyDescent="0.2">
      <c r="A291" s="252" t="s">
        <v>121</v>
      </c>
      <c r="B291" s="253"/>
      <c r="C291" s="253"/>
      <c r="D291" s="253"/>
      <c r="E291" s="253"/>
      <c r="F291" s="253"/>
      <c r="G291" s="253"/>
      <c r="H291" s="253"/>
      <c r="I291" s="253"/>
      <c r="J291" s="254"/>
      <c r="K291" s="206">
        <f>SUM(K290:K290)</f>
        <v>750000</v>
      </c>
      <c r="L291" s="206">
        <f>SUM(L290:L290)</f>
        <v>750000</v>
      </c>
      <c r="M291" s="185"/>
    </row>
    <row r="292" spans="1:14" s="71" customFormat="1" ht="12.75" customHeight="1" outlineLevel="1" x14ac:dyDescent="0.2">
      <c r="A292" s="196">
        <v>43333</v>
      </c>
      <c r="B292" s="180">
        <v>43336</v>
      </c>
      <c r="C292" s="190" t="s">
        <v>124</v>
      </c>
      <c r="D292" s="219" t="s">
        <v>219</v>
      </c>
      <c r="E292" s="180">
        <v>43504</v>
      </c>
      <c r="F292" s="203" t="s">
        <v>134</v>
      </c>
      <c r="G292" s="203">
        <v>6.21875E-2</v>
      </c>
      <c r="H292" s="203">
        <v>7.0000000000000007E-2</v>
      </c>
      <c r="I292" s="197">
        <v>6.3043799999999997E-2</v>
      </c>
      <c r="J292" s="220"/>
      <c r="K292" s="221">
        <v>8285000</v>
      </c>
      <c r="L292" s="222">
        <v>3000000</v>
      </c>
      <c r="M292" s="223">
        <f>IF(L292=0,0,K292/L292)</f>
        <v>2.7616666666666667</v>
      </c>
    </row>
    <row r="293" spans="1:14" s="71" customFormat="1" ht="12.75" customHeight="1" outlineLevel="1" x14ac:dyDescent="0.2">
      <c r="A293" s="196"/>
      <c r="B293" s="180"/>
      <c r="C293" s="190"/>
      <c r="D293" s="219" t="s">
        <v>220</v>
      </c>
      <c r="E293" s="180">
        <v>43593</v>
      </c>
      <c r="F293" s="203" t="s">
        <v>134</v>
      </c>
      <c r="G293" s="203">
        <v>6.4375000000000002E-2</v>
      </c>
      <c r="H293" s="203">
        <v>6.8125000000000005E-2</v>
      </c>
      <c r="I293" s="197">
        <v>6.5365599999999996E-2</v>
      </c>
      <c r="J293" s="197"/>
      <c r="K293" s="183">
        <v>2885000</v>
      </c>
      <c r="L293" s="205">
        <v>1000000</v>
      </c>
      <c r="M293" s="204">
        <f>IF(L293=0,0,K293/L293)</f>
        <v>2.8849999999999998</v>
      </c>
    </row>
    <row r="294" spans="1:14" s="71" customFormat="1" ht="12.75" customHeight="1" outlineLevel="1" x14ac:dyDescent="0.2">
      <c r="A294" s="172"/>
      <c r="B294" s="172"/>
      <c r="C294" s="172"/>
      <c r="D294" s="219" t="s">
        <v>150</v>
      </c>
      <c r="E294" s="180">
        <v>43905</v>
      </c>
      <c r="F294" s="203">
        <v>6.25E-2</v>
      </c>
      <c r="G294" s="203">
        <v>7.4062500000000003E-2</v>
      </c>
      <c r="H294" s="203">
        <v>0.08</v>
      </c>
      <c r="I294" s="197">
        <v>7.5198500000000001E-2</v>
      </c>
      <c r="J294" s="197"/>
      <c r="K294" s="183">
        <v>1864000</v>
      </c>
      <c r="L294" s="205">
        <v>1120000</v>
      </c>
      <c r="M294" s="204">
        <f t="shared" ref="M294:M296" si="43">IF(L294=0,0,K294/L294)</f>
        <v>1.6642857142857144</v>
      </c>
    </row>
    <row r="295" spans="1:14" s="71" customFormat="1" ht="12.75" customHeight="1" outlineLevel="1" x14ac:dyDescent="0.2">
      <c r="A295" s="172"/>
      <c r="B295" s="172"/>
      <c r="C295" s="172"/>
      <c r="D295" s="219" t="s">
        <v>49</v>
      </c>
      <c r="E295" s="180">
        <v>44576</v>
      </c>
      <c r="F295" s="203">
        <v>5.45E-2</v>
      </c>
      <c r="G295" s="203">
        <v>7.5312500000000004E-2</v>
      </c>
      <c r="H295" s="203">
        <v>7.8437499999999993E-2</v>
      </c>
      <c r="I295" s="197">
        <v>7.6899400000000007E-2</v>
      </c>
      <c r="J295" s="197"/>
      <c r="K295" s="183">
        <v>566000</v>
      </c>
      <c r="L295" s="205">
        <v>500000</v>
      </c>
      <c r="M295" s="204">
        <f t="shared" si="43"/>
        <v>1.1319999999999999</v>
      </c>
      <c r="N295" s="186"/>
    </row>
    <row r="296" spans="1:14" s="71" customFormat="1" ht="12.75" customHeight="1" outlineLevel="1" x14ac:dyDescent="0.2">
      <c r="A296" s="172"/>
      <c r="B296" s="172"/>
      <c r="C296" s="172"/>
      <c r="D296" s="219" t="s">
        <v>151</v>
      </c>
      <c r="E296" s="180">
        <v>45945</v>
      </c>
      <c r="F296" s="203">
        <v>6.1249999999999999E-2</v>
      </c>
      <c r="G296" s="203">
        <v>8.1562499999999996E-2</v>
      </c>
      <c r="H296" s="203">
        <v>8.4687499999999999E-2</v>
      </c>
      <c r="I296" s="197">
        <v>8.2475199999999999E-2</v>
      </c>
      <c r="J296" s="197"/>
      <c r="K296" s="183">
        <v>175000</v>
      </c>
      <c r="L296" s="229">
        <v>135000</v>
      </c>
      <c r="M296" s="230">
        <f t="shared" si="43"/>
        <v>1.2962962962962963</v>
      </c>
    </row>
    <row r="297" spans="1:14" s="71" customFormat="1" ht="12.75" customHeight="1" outlineLevel="1" x14ac:dyDescent="0.2">
      <c r="A297" s="172"/>
      <c r="B297" s="172"/>
      <c r="C297" s="172"/>
      <c r="D297" s="219" t="s">
        <v>152</v>
      </c>
      <c r="E297" s="180">
        <v>11642</v>
      </c>
      <c r="F297" s="203">
        <v>8.8749999999999996E-2</v>
      </c>
      <c r="G297" s="203">
        <v>8.5625000000000007E-2</v>
      </c>
      <c r="H297" s="203">
        <v>9.0624999999999997E-2</v>
      </c>
      <c r="I297" s="197">
        <v>8.6098900000000006E-2</v>
      </c>
      <c r="J297" s="197"/>
      <c r="K297" s="183">
        <v>1027000</v>
      </c>
      <c r="L297" s="229">
        <v>510000</v>
      </c>
      <c r="M297" s="230">
        <f t="shared" ref="M297" si="44">IF(L297=0,0,K297/L297)</f>
        <v>2.0137254901960784</v>
      </c>
    </row>
    <row r="298" spans="1:14" s="71" customFormat="1" ht="12.75" customHeight="1" outlineLevel="1" x14ac:dyDescent="0.2">
      <c r="A298" s="252" t="s">
        <v>121</v>
      </c>
      <c r="B298" s="253"/>
      <c r="C298" s="253"/>
      <c r="D298" s="253"/>
      <c r="E298" s="253"/>
      <c r="F298" s="253"/>
      <c r="G298" s="253"/>
      <c r="H298" s="253"/>
      <c r="I298" s="253"/>
      <c r="J298" s="254"/>
      <c r="K298" s="206">
        <f>SUM(K292:K297)</f>
        <v>14802000</v>
      </c>
      <c r="L298" s="206">
        <f>SUM(L292:L297)</f>
        <v>6265000</v>
      </c>
      <c r="M298" s="185"/>
    </row>
    <row r="299" spans="1:14" s="71" customFormat="1" ht="12.75" customHeight="1" outlineLevel="1" x14ac:dyDescent="0.2">
      <c r="A299" s="196">
        <v>43333</v>
      </c>
      <c r="B299" s="180">
        <v>43339</v>
      </c>
      <c r="C299" s="228" t="s">
        <v>160</v>
      </c>
      <c r="D299" s="219" t="s">
        <v>151</v>
      </c>
      <c r="E299" s="180">
        <v>45945</v>
      </c>
      <c r="F299" s="203">
        <v>6.1249999999999999E-2</v>
      </c>
      <c r="G299" s="203"/>
      <c r="H299" s="203"/>
      <c r="I299" s="197"/>
      <c r="J299" s="197"/>
      <c r="K299" s="221">
        <v>500000</v>
      </c>
      <c r="L299" s="221">
        <v>500000</v>
      </c>
      <c r="M299" s="204">
        <f>IF(L299=0,0,K299/L299)</f>
        <v>1</v>
      </c>
    </row>
    <row r="300" spans="1:14" s="71" customFormat="1" ht="12.75" customHeight="1" outlineLevel="1" x14ac:dyDescent="0.2">
      <c r="A300" s="252" t="s">
        <v>121</v>
      </c>
      <c r="B300" s="253"/>
      <c r="C300" s="253"/>
      <c r="D300" s="253"/>
      <c r="E300" s="253"/>
      <c r="F300" s="253"/>
      <c r="G300" s="253"/>
      <c r="H300" s="253"/>
      <c r="I300" s="253"/>
      <c r="J300" s="254"/>
      <c r="K300" s="206">
        <f>SUM(K299:K299)</f>
        <v>500000</v>
      </c>
      <c r="L300" s="206">
        <f>SUM(L299:L299)</f>
        <v>500000</v>
      </c>
      <c r="M300" s="185"/>
    </row>
    <row r="301" spans="1:14" s="71" customFormat="1" ht="12.75" customHeight="1" outlineLevel="1" x14ac:dyDescent="0.2">
      <c r="A301" s="180">
        <v>43339</v>
      </c>
      <c r="B301" s="180">
        <v>43341</v>
      </c>
      <c r="C301" s="228" t="s">
        <v>160</v>
      </c>
      <c r="D301" s="219" t="s">
        <v>223</v>
      </c>
      <c r="E301" s="180">
        <v>45167</v>
      </c>
      <c r="F301" s="203">
        <v>0.08</v>
      </c>
      <c r="G301" s="203"/>
      <c r="H301" s="203"/>
      <c r="I301" s="197"/>
      <c r="J301" s="197"/>
      <c r="K301" s="221">
        <v>1500000</v>
      </c>
      <c r="L301" s="221">
        <v>1500000</v>
      </c>
      <c r="M301" s="204">
        <f>IF(L301=0,0,K301/L301)</f>
        <v>1</v>
      </c>
    </row>
    <row r="302" spans="1:14" s="71" customFormat="1" ht="12.75" customHeight="1" outlineLevel="1" x14ac:dyDescent="0.2">
      <c r="A302" s="252" t="s">
        <v>121</v>
      </c>
      <c r="B302" s="253"/>
      <c r="C302" s="253"/>
      <c r="D302" s="253"/>
      <c r="E302" s="253"/>
      <c r="F302" s="253"/>
      <c r="G302" s="253"/>
      <c r="H302" s="253"/>
      <c r="I302" s="253"/>
      <c r="J302" s="254"/>
      <c r="K302" s="206">
        <f>SUM(K301:K301)</f>
        <v>1500000</v>
      </c>
      <c r="L302" s="206">
        <f>SUM(L301:L301)</f>
        <v>1500000</v>
      </c>
      <c r="M302" s="185"/>
    </row>
    <row r="303" spans="1:14" s="71" customFormat="1" ht="12.75" customHeight="1" outlineLevel="1" x14ac:dyDescent="0.2">
      <c r="A303" s="180">
        <v>43339</v>
      </c>
      <c r="B303" s="180">
        <v>43341</v>
      </c>
      <c r="C303" s="228" t="s">
        <v>160</v>
      </c>
      <c r="D303" s="244" t="s">
        <v>227</v>
      </c>
      <c r="E303" s="180">
        <v>45167</v>
      </c>
      <c r="F303" s="203">
        <v>0.08</v>
      </c>
      <c r="G303" s="203"/>
      <c r="H303" s="203"/>
      <c r="I303" s="197"/>
      <c r="J303" s="197"/>
      <c r="K303" s="221">
        <v>3500000</v>
      </c>
      <c r="L303" s="221">
        <v>3500000</v>
      </c>
      <c r="M303" s="204">
        <f>IF(L303=0,0,K303/L303)</f>
        <v>1</v>
      </c>
    </row>
    <row r="304" spans="1:14" s="71" customFormat="1" ht="12.75" customHeight="1" outlineLevel="1" x14ac:dyDescent="0.2">
      <c r="A304" s="252" t="s">
        <v>121</v>
      </c>
      <c r="B304" s="253"/>
      <c r="C304" s="253"/>
      <c r="D304" s="253"/>
      <c r="E304" s="253"/>
      <c r="F304" s="253"/>
      <c r="G304" s="253"/>
      <c r="H304" s="253"/>
      <c r="I304" s="253"/>
      <c r="J304" s="254"/>
      <c r="K304" s="206">
        <f>SUM(K303:K303)</f>
        <v>3500000</v>
      </c>
      <c r="L304" s="206">
        <f>SUM(L303:L303)</f>
        <v>3500000</v>
      </c>
      <c r="M304" s="185"/>
    </row>
    <row r="305" spans="1:15" s="71" customFormat="1" ht="12.75" customHeight="1" outlineLevel="1" x14ac:dyDescent="0.2">
      <c r="A305" s="180">
        <v>43339</v>
      </c>
      <c r="B305" s="180">
        <v>43341</v>
      </c>
      <c r="C305" s="228" t="s">
        <v>160</v>
      </c>
      <c r="D305" s="244" t="s">
        <v>228</v>
      </c>
      <c r="E305" s="180">
        <v>49810</v>
      </c>
      <c r="F305" s="203">
        <v>8.2500000000000004E-2</v>
      </c>
      <c r="G305" s="203"/>
      <c r="H305" s="203"/>
      <c r="I305" s="197"/>
      <c r="J305" s="197"/>
      <c r="K305" s="221">
        <v>1000000</v>
      </c>
      <c r="L305" s="221">
        <v>1000000</v>
      </c>
      <c r="M305" s="204">
        <f>IF(L305=0,0,K305/L305)</f>
        <v>1</v>
      </c>
    </row>
    <row r="306" spans="1:15" s="71" customFormat="1" ht="12.75" customHeight="1" outlineLevel="1" x14ac:dyDescent="0.2">
      <c r="A306" s="252" t="s">
        <v>121</v>
      </c>
      <c r="B306" s="253"/>
      <c r="C306" s="253"/>
      <c r="D306" s="253"/>
      <c r="E306" s="253"/>
      <c r="F306" s="253"/>
      <c r="G306" s="253"/>
      <c r="H306" s="253"/>
      <c r="I306" s="253"/>
      <c r="J306" s="254"/>
      <c r="K306" s="206">
        <f>SUM(K305:K305)</f>
        <v>1000000</v>
      </c>
      <c r="L306" s="206">
        <f>SUM(L305:L305)</f>
        <v>1000000</v>
      </c>
      <c r="M306" s="185"/>
    </row>
    <row r="307" spans="1:15" s="71" customFormat="1" ht="12.75" customHeight="1" outlineLevel="1" x14ac:dyDescent="0.2">
      <c r="A307" s="180">
        <v>43340</v>
      </c>
      <c r="B307" s="180">
        <v>43342</v>
      </c>
      <c r="C307" s="228" t="s">
        <v>160</v>
      </c>
      <c r="D307" s="219" t="s">
        <v>35</v>
      </c>
      <c r="E307" s="180">
        <v>44696</v>
      </c>
      <c r="F307" s="203">
        <v>7.0000000000000007E-2</v>
      </c>
      <c r="G307" s="203"/>
      <c r="H307" s="203"/>
      <c r="I307" s="197"/>
      <c r="J307" s="197"/>
      <c r="K307" s="221">
        <v>1000000</v>
      </c>
      <c r="L307" s="221">
        <v>1000000</v>
      </c>
      <c r="M307" s="204">
        <f>IF(L307=0,0,K307/L307)</f>
        <v>1</v>
      </c>
    </row>
    <row r="308" spans="1:15" s="71" customFormat="1" ht="12.75" customHeight="1" outlineLevel="1" x14ac:dyDescent="0.2">
      <c r="A308" s="252" t="s">
        <v>121</v>
      </c>
      <c r="B308" s="253"/>
      <c r="C308" s="253"/>
      <c r="D308" s="253"/>
      <c r="E308" s="253"/>
      <c r="F308" s="253"/>
      <c r="G308" s="253"/>
      <c r="H308" s="253"/>
      <c r="I308" s="253"/>
      <c r="J308" s="254"/>
      <c r="K308" s="206">
        <f>SUM(K307:K307)</f>
        <v>1000000</v>
      </c>
      <c r="L308" s="206">
        <f>SUM(L307:L307)</f>
        <v>1000000</v>
      </c>
      <c r="M308" s="185"/>
    </row>
    <row r="309" spans="1:15" s="71" customFormat="1" ht="12.75" customHeight="1" outlineLevel="1" x14ac:dyDescent="0.2">
      <c r="A309" s="196">
        <v>43340</v>
      </c>
      <c r="B309" s="196">
        <v>43342</v>
      </c>
      <c r="C309" s="196" t="s">
        <v>124</v>
      </c>
      <c r="D309" s="175" t="s">
        <v>225</v>
      </c>
      <c r="E309" s="180">
        <v>43433</v>
      </c>
      <c r="F309" s="203" t="s">
        <v>134</v>
      </c>
      <c r="G309" s="203">
        <v>5.2999999999999999E-2</v>
      </c>
      <c r="H309" s="197">
        <v>6.0999999999999999E-2</v>
      </c>
      <c r="I309" s="197">
        <v>5.32983E-2</v>
      </c>
      <c r="J309" s="197">
        <v>5.3999999999999999E-2</v>
      </c>
      <c r="K309" s="205">
        <v>10880000</v>
      </c>
      <c r="L309" s="205">
        <v>3000000</v>
      </c>
      <c r="M309" s="204">
        <f t="shared" ref="M309:M314" si="45">IF(L309=0,0,K309/L309)</f>
        <v>3.6266666666666665</v>
      </c>
    </row>
    <row r="310" spans="1:15" s="71" customFormat="1" ht="12.75" customHeight="1" outlineLevel="1" x14ac:dyDescent="0.2">
      <c r="A310" s="172"/>
      <c r="B310" s="172"/>
      <c r="C310" s="172"/>
      <c r="D310" s="175" t="s">
        <v>226</v>
      </c>
      <c r="E310" s="180">
        <v>43706</v>
      </c>
      <c r="F310" s="203" t="s">
        <v>134</v>
      </c>
      <c r="G310" s="203">
        <v>6.1899999999999997E-2</v>
      </c>
      <c r="H310" s="197">
        <v>6.8000000000000005E-2</v>
      </c>
      <c r="I310" s="197">
        <v>6.1899999999999997E-2</v>
      </c>
      <c r="J310" s="197">
        <v>6.1899999999999997E-2</v>
      </c>
      <c r="K310" s="205">
        <v>5800000</v>
      </c>
      <c r="L310" s="205">
        <v>1100000</v>
      </c>
      <c r="M310" s="204">
        <f t="shared" si="45"/>
        <v>5.2727272727272725</v>
      </c>
    </row>
    <row r="311" spans="1:15" s="71" customFormat="1" ht="12.75" customHeight="1" outlineLevel="1" x14ac:dyDescent="0.2">
      <c r="A311" s="172"/>
      <c r="B311" s="172"/>
      <c r="C311" s="172"/>
      <c r="D311" s="175" t="s">
        <v>94</v>
      </c>
      <c r="E311" s="180">
        <v>45061</v>
      </c>
      <c r="F311" s="203">
        <v>5.6250000000000001E-2</v>
      </c>
      <c r="G311" s="203">
        <v>7.7200000000000005E-2</v>
      </c>
      <c r="H311" s="203">
        <v>8.2400000000000001E-2</v>
      </c>
      <c r="I311" s="197">
        <v>7.7778899999999998E-2</v>
      </c>
      <c r="J311" s="197">
        <v>7.8E-2</v>
      </c>
      <c r="K311" s="205">
        <v>14840000</v>
      </c>
      <c r="L311" s="205">
        <v>2650000</v>
      </c>
      <c r="M311" s="204">
        <f t="shared" si="45"/>
        <v>5.6</v>
      </c>
    </row>
    <row r="312" spans="1:15" s="71" customFormat="1" ht="12.75" customHeight="1" outlineLevel="1" x14ac:dyDescent="0.2">
      <c r="A312" s="172"/>
      <c r="B312" s="172"/>
      <c r="C312" s="172"/>
      <c r="D312" s="175" t="s">
        <v>95</v>
      </c>
      <c r="E312" s="180">
        <v>46888</v>
      </c>
      <c r="F312" s="203">
        <v>6.1249999999999999E-2</v>
      </c>
      <c r="G312" s="203">
        <v>7.9299999999999995E-2</v>
      </c>
      <c r="H312" s="203">
        <v>8.4900000000000003E-2</v>
      </c>
      <c r="I312" s="197">
        <v>7.9570100000000005E-2</v>
      </c>
      <c r="J312" s="197">
        <v>7.9699999999999993E-2</v>
      </c>
      <c r="K312" s="205">
        <v>17274000</v>
      </c>
      <c r="L312" s="205">
        <v>6600000</v>
      </c>
      <c r="M312" s="204">
        <f t="shared" si="45"/>
        <v>2.6172727272727272</v>
      </c>
    </row>
    <row r="313" spans="1:15" s="71" customFormat="1" ht="12.75" customHeight="1" outlineLevel="1" x14ac:dyDescent="0.2">
      <c r="A313" s="172"/>
      <c r="B313" s="172"/>
      <c r="C313" s="172"/>
      <c r="D313" s="175" t="s">
        <v>98</v>
      </c>
      <c r="E313" s="180">
        <v>48714</v>
      </c>
      <c r="F313" s="203">
        <v>6.6250000000000003E-2</v>
      </c>
      <c r="G313" s="203">
        <v>7.9500000000000001E-2</v>
      </c>
      <c r="H313" s="203">
        <v>8.5000000000000006E-2</v>
      </c>
      <c r="I313" s="197">
        <v>8.0242900000000006E-2</v>
      </c>
      <c r="J313" s="197">
        <v>8.1000000000000003E-2</v>
      </c>
      <c r="K313" s="205">
        <v>5350000</v>
      </c>
      <c r="L313" s="205">
        <v>2150000</v>
      </c>
      <c r="M313" s="204">
        <f t="shared" si="45"/>
        <v>2.4883720930232558</v>
      </c>
    </row>
    <row r="314" spans="1:15" s="71" customFormat="1" ht="12.75" customHeight="1" outlineLevel="1" x14ac:dyDescent="0.2">
      <c r="A314" s="172"/>
      <c r="B314" s="172"/>
      <c r="C314" s="172"/>
      <c r="D314" s="175" t="s">
        <v>138</v>
      </c>
      <c r="E314" s="180">
        <v>50540</v>
      </c>
      <c r="F314" s="203">
        <v>7.4999999999999997E-2</v>
      </c>
      <c r="G314" s="203">
        <v>8.3099999999999993E-2</v>
      </c>
      <c r="H314" s="203">
        <v>8.5199999999999998E-2</v>
      </c>
      <c r="I314" s="197">
        <v>8.3831900000000001E-2</v>
      </c>
      <c r="J314" s="197">
        <v>8.4500000000000006E-2</v>
      </c>
      <c r="K314" s="205">
        <v>5140500</v>
      </c>
      <c r="L314" s="205">
        <v>4500000</v>
      </c>
      <c r="M314" s="204">
        <f t="shared" si="45"/>
        <v>1.1423333333333334</v>
      </c>
    </row>
    <row r="315" spans="1:15" s="71" customFormat="1" ht="12.75" customHeight="1" outlineLevel="1" x14ac:dyDescent="0.2">
      <c r="A315" s="252" t="s">
        <v>121</v>
      </c>
      <c r="B315" s="253"/>
      <c r="C315" s="253"/>
      <c r="D315" s="253"/>
      <c r="E315" s="253"/>
      <c r="F315" s="253"/>
      <c r="G315" s="253"/>
      <c r="H315" s="253"/>
      <c r="I315" s="253"/>
      <c r="J315" s="254"/>
      <c r="K315" s="206">
        <f>SUM(K309:K314)</f>
        <v>59284500</v>
      </c>
      <c r="L315" s="206">
        <f>SUM(L309:L314)</f>
        <v>20000000</v>
      </c>
      <c r="M315" s="185"/>
    </row>
    <row r="316" spans="1:15" s="71" customFormat="1" ht="12.75" customHeight="1" outlineLevel="1" x14ac:dyDescent="0.2">
      <c r="A316" s="180">
        <v>43340</v>
      </c>
      <c r="B316" s="180">
        <v>43342</v>
      </c>
      <c r="C316" s="228" t="s">
        <v>160</v>
      </c>
      <c r="D316" s="219" t="s">
        <v>161</v>
      </c>
      <c r="E316" s="180">
        <v>44331</v>
      </c>
      <c r="F316" s="203">
        <v>6.5000000000000002E-2</v>
      </c>
      <c r="G316" s="203"/>
      <c r="H316" s="203"/>
      <c r="I316" s="197"/>
      <c r="J316" s="197"/>
      <c r="K316" s="221">
        <v>1000000</v>
      </c>
      <c r="L316" s="221">
        <v>1000000</v>
      </c>
      <c r="M316" s="204">
        <f>IF(L316=0,0,K316/L316)</f>
        <v>1</v>
      </c>
    </row>
    <row r="317" spans="1:15" s="71" customFormat="1" ht="12.75" customHeight="1" outlineLevel="1" x14ac:dyDescent="0.2">
      <c r="A317" s="252" t="s">
        <v>121</v>
      </c>
      <c r="B317" s="253"/>
      <c r="C317" s="253"/>
      <c r="D317" s="253"/>
      <c r="E317" s="253"/>
      <c r="F317" s="253"/>
      <c r="G317" s="253"/>
      <c r="H317" s="253"/>
      <c r="I317" s="253"/>
      <c r="J317" s="254"/>
      <c r="K317" s="206">
        <f>SUM(K316:K316)</f>
        <v>1000000</v>
      </c>
      <c r="L317" s="206">
        <f>SUM(L316:L316)</f>
        <v>1000000</v>
      </c>
      <c r="M317" s="185"/>
    </row>
    <row r="318" spans="1:15" s="71" customFormat="1" ht="12.75" customHeight="1" outlineLevel="1" x14ac:dyDescent="0.2">
      <c r="A318" s="180">
        <v>43340</v>
      </c>
      <c r="B318" s="180">
        <v>43342</v>
      </c>
      <c r="C318" s="228" t="s">
        <v>160</v>
      </c>
      <c r="D318" s="219" t="s">
        <v>222</v>
      </c>
      <c r="E318" s="180">
        <v>15811</v>
      </c>
      <c r="F318" s="203">
        <v>6.7500000000000004E-2</v>
      </c>
      <c r="G318" s="203"/>
      <c r="H318" s="203"/>
      <c r="I318" s="197"/>
      <c r="J318" s="197"/>
      <c r="K318" s="221">
        <v>250000</v>
      </c>
      <c r="L318" s="221">
        <v>250000</v>
      </c>
      <c r="M318" s="204">
        <f>IF(L318=0,0,K318/L318)</f>
        <v>1</v>
      </c>
    </row>
    <row r="319" spans="1:15" s="71" customFormat="1" ht="12.75" customHeight="1" outlineLevel="1" x14ac:dyDescent="0.2">
      <c r="A319" s="252" t="s">
        <v>121</v>
      </c>
      <c r="B319" s="253"/>
      <c r="C319" s="253"/>
      <c r="D319" s="253"/>
      <c r="E319" s="253"/>
      <c r="F319" s="253"/>
      <c r="G319" s="253"/>
      <c r="H319" s="253"/>
      <c r="I319" s="253"/>
      <c r="J319" s="254"/>
      <c r="K319" s="206">
        <f>SUM(K318:K318)</f>
        <v>250000</v>
      </c>
      <c r="L319" s="206">
        <f>SUM(L318:L318)</f>
        <v>250000</v>
      </c>
      <c r="M319" s="185"/>
    </row>
    <row r="320" spans="1:15" s="198" customFormat="1" ht="12.75" customHeight="1" x14ac:dyDescent="0.2">
      <c r="A320" s="255" t="s">
        <v>217</v>
      </c>
      <c r="B320" s="256"/>
      <c r="C320" s="256"/>
      <c r="D320" s="256"/>
      <c r="E320" s="256"/>
      <c r="F320" s="256"/>
      <c r="G320" s="256"/>
      <c r="H320" s="256"/>
      <c r="I320" s="256"/>
      <c r="J320" s="257"/>
      <c r="K320" s="202">
        <f>K267+K274+K276+K278+K280+K282+K289+K291+K298+K300+K304+K306+K308+K315+K302+K317+K319</f>
        <v>177803300</v>
      </c>
      <c r="L320" s="202">
        <f>L267+L274+L276+L278+L280+L282+L289+L291+L298+L300+L304+L306+L308+L315+L302+L317+L319</f>
        <v>80935000</v>
      </c>
      <c r="M320" s="201"/>
      <c r="O320" s="199"/>
    </row>
    <row r="321" spans="1:14" s="198" customFormat="1" ht="12.75" customHeight="1" x14ac:dyDescent="0.2">
      <c r="A321" s="255" t="s">
        <v>224</v>
      </c>
      <c r="B321" s="256"/>
      <c r="C321" s="256"/>
      <c r="D321" s="256"/>
      <c r="E321" s="256"/>
      <c r="F321" s="256"/>
      <c r="G321" s="256"/>
      <c r="H321" s="256"/>
      <c r="I321" s="256"/>
      <c r="J321" s="257"/>
      <c r="K321" s="202">
        <f>SUM(K261,K320)</f>
        <v>1085893986</v>
      </c>
      <c r="L321" s="202">
        <f>SUM(L261,L320)</f>
        <v>581506900</v>
      </c>
      <c r="M321" s="201"/>
      <c r="N321" s="39"/>
    </row>
    <row r="322" spans="1:14" s="71" customFormat="1" ht="12.75" customHeight="1" outlineLevel="1" x14ac:dyDescent="0.2">
      <c r="A322" s="196">
        <v>43347</v>
      </c>
      <c r="B322" s="180">
        <v>43349</v>
      </c>
      <c r="C322" s="190" t="s">
        <v>124</v>
      </c>
      <c r="D322" s="219" t="s">
        <v>229</v>
      </c>
      <c r="E322" s="180">
        <v>43529</v>
      </c>
      <c r="F322" s="203" t="s">
        <v>134</v>
      </c>
      <c r="G322" s="203">
        <v>6.4375000000000002E-2</v>
      </c>
      <c r="H322" s="203">
        <v>7.9687499999999994E-2</v>
      </c>
      <c r="I322" s="197">
        <v>6.4829499999999998E-2</v>
      </c>
      <c r="J322" s="220"/>
      <c r="K322" s="221">
        <v>3801000</v>
      </c>
      <c r="L322" s="222">
        <v>1100000</v>
      </c>
      <c r="M322" s="223">
        <f>IF(L322=0,0,K322/L322)</f>
        <v>3.4554545454545456</v>
      </c>
    </row>
    <row r="323" spans="1:14" s="71" customFormat="1" ht="12.75" customHeight="1" outlineLevel="1" x14ac:dyDescent="0.2">
      <c r="A323" s="196"/>
      <c r="B323" s="180"/>
      <c r="C323" s="190"/>
      <c r="D323" s="219" t="s">
        <v>230</v>
      </c>
      <c r="E323" s="180">
        <v>43621</v>
      </c>
      <c r="F323" s="203" t="s">
        <v>134</v>
      </c>
      <c r="G323" s="203">
        <v>6.8437499999999998E-2</v>
      </c>
      <c r="H323" s="203">
        <v>7.3749999999999996E-2</v>
      </c>
      <c r="I323" s="197">
        <v>6.9218799999999997E-2</v>
      </c>
      <c r="J323" s="197"/>
      <c r="K323" s="183">
        <v>2750000</v>
      </c>
      <c r="L323" s="205">
        <v>1200000</v>
      </c>
      <c r="M323" s="204">
        <f>IF(L323=0,0,K323/L323)</f>
        <v>2.2916666666666665</v>
      </c>
    </row>
    <row r="324" spans="1:14" s="71" customFormat="1" ht="12.75" customHeight="1" outlineLevel="1" x14ac:dyDescent="0.2">
      <c r="A324" s="172"/>
      <c r="B324" s="172"/>
      <c r="C324" s="172"/>
      <c r="D324" s="219" t="s">
        <v>150</v>
      </c>
      <c r="E324" s="180">
        <v>43905</v>
      </c>
      <c r="F324" s="203">
        <v>6.25E-2</v>
      </c>
      <c r="G324" s="203">
        <v>7.6562500000000006E-2</v>
      </c>
      <c r="H324" s="203">
        <v>8.3750000000000005E-2</v>
      </c>
      <c r="I324" s="197">
        <v>7.8748799999999994E-2</v>
      </c>
      <c r="J324" s="197"/>
      <c r="K324" s="183">
        <v>1978000</v>
      </c>
      <c r="L324" s="205">
        <v>1100000</v>
      </c>
      <c r="M324" s="204">
        <f t="shared" ref="M324:M325" si="46">IF(L324=0,0,K324/L324)</f>
        <v>1.7981818181818181</v>
      </c>
    </row>
    <row r="325" spans="1:14" s="71" customFormat="1" ht="12.75" customHeight="1" outlineLevel="1" x14ac:dyDescent="0.2">
      <c r="A325" s="172"/>
      <c r="B325" s="172"/>
      <c r="C325" s="172"/>
      <c r="D325" s="219" t="s">
        <v>49</v>
      </c>
      <c r="E325" s="180">
        <v>44576</v>
      </c>
      <c r="F325" s="203">
        <v>5.45E-2</v>
      </c>
      <c r="G325" s="203">
        <v>7.9687499999999994E-2</v>
      </c>
      <c r="H325" s="203">
        <v>8.2187499999999997E-2</v>
      </c>
      <c r="I325" s="197">
        <v>8.0996899999999997E-2</v>
      </c>
      <c r="J325" s="197"/>
      <c r="K325" s="183">
        <v>553000</v>
      </c>
      <c r="L325" s="205">
        <v>330000</v>
      </c>
      <c r="M325" s="204">
        <f t="shared" si="46"/>
        <v>1.6757575757575758</v>
      </c>
      <c r="N325" s="186"/>
    </row>
    <row r="326" spans="1:14" s="71" customFormat="1" ht="12.75" customHeight="1" outlineLevel="1" x14ac:dyDescent="0.2">
      <c r="A326" s="172"/>
      <c r="B326" s="172"/>
      <c r="C326" s="172"/>
      <c r="D326" s="219" t="s">
        <v>152</v>
      </c>
      <c r="E326" s="180">
        <v>11642</v>
      </c>
      <c r="F326" s="203">
        <v>8.8749999999999996E-2</v>
      </c>
      <c r="G326" s="203">
        <v>8.7812500000000002E-2</v>
      </c>
      <c r="H326" s="203">
        <v>9.1249999999999998E-2</v>
      </c>
      <c r="I326" s="197">
        <v>8.8568300000000003E-2</v>
      </c>
      <c r="J326" s="197"/>
      <c r="K326" s="183">
        <v>953000</v>
      </c>
      <c r="L326" s="229">
        <v>900000</v>
      </c>
      <c r="M326" s="230">
        <f t="shared" ref="M326:M327" si="47">IF(L326=0,0,K326/L326)</f>
        <v>1.058888888888889</v>
      </c>
    </row>
    <row r="327" spans="1:14" s="71" customFormat="1" ht="12.75" customHeight="1" outlineLevel="1" x14ac:dyDescent="0.2">
      <c r="A327" s="172"/>
      <c r="B327" s="172"/>
      <c r="C327" s="172"/>
      <c r="D327" s="219" t="s">
        <v>165</v>
      </c>
      <c r="E327" s="180">
        <v>53888</v>
      </c>
      <c r="F327" s="203">
        <v>0.08</v>
      </c>
      <c r="G327" s="203">
        <v>9.0312500000000004E-2</v>
      </c>
      <c r="H327" s="203">
        <v>9.375E-2</v>
      </c>
      <c r="I327" s="197">
        <v>9.0786599999999995E-2</v>
      </c>
      <c r="J327" s="197"/>
      <c r="K327" s="183">
        <v>445000</v>
      </c>
      <c r="L327" s="229">
        <v>175000</v>
      </c>
      <c r="M327" s="230">
        <f t="shared" si="47"/>
        <v>2.5428571428571427</v>
      </c>
    </row>
    <row r="328" spans="1:14" s="71" customFormat="1" ht="12.75" customHeight="1" outlineLevel="1" x14ac:dyDescent="0.2">
      <c r="A328" s="252" t="s">
        <v>121</v>
      </c>
      <c r="B328" s="253"/>
      <c r="C328" s="253"/>
      <c r="D328" s="253"/>
      <c r="E328" s="253"/>
      <c r="F328" s="253"/>
      <c r="G328" s="253"/>
      <c r="H328" s="253"/>
      <c r="I328" s="253"/>
      <c r="J328" s="254"/>
      <c r="K328" s="206">
        <f>SUM(K322:K327)</f>
        <v>10480000</v>
      </c>
      <c r="L328" s="206">
        <f>SUM(L322:L327)</f>
        <v>4805000</v>
      </c>
      <c r="M328" s="185"/>
    </row>
    <row r="329" spans="1:14" s="71" customFormat="1" ht="12.75" customHeight="1" outlineLevel="1" x14ac:dyDescent="0.2">
      <c r="A329" s="196">
        <v>43350</v>
      </c>
      <c r="B329" s="180">
        <v>43355</v>
      </c>
      <c r="C329" s="228" t="s">
        <v>160</v>
      </c>
      <c r="D329" s="175" t="s">
        <v>50</v>
      </c>
      <c r="E329" s="180">
        <v>46402</v>
      </c>
      <c r="F329" s="203">
        <v>0.06</v>
      </c>
      <c r="G329" s="203"/>
      <c r="H329" s="203"/>
      <c r="I329" s="197"/>
      <c r="J329" s="197"/>
      <c r="K329" s="221">
        <v>500000</v>
      </c>
      <c r="L329" s="221">
        <v>500000</v>
      </c>
      <c r="M329" s="204">
        <f>IF(L329=0,0,K329/L329)</f>
        <v>1</v>
      </c>
    </row>
    <row r="330" spans="1:14" s="71" customFormat="1" ht="12.75" customHeight="1" outlineLevel="1" x14ac:dyDescent="0.2">
      <c r="A330" s="252" t="s">
        <v>121</v>
      </c>
      <c r="B330" s="253"/>
      <c r="C330" s="253"/>
      <c r="D330" s="253"/>
      <c r="E330" s="253"/>
      <c r="F330" s="253"/>
      <c r="G330" s="253"/>
      <c r="H330" s="253"/>
      <c r="I330" s="253"/>
      <c r="J330" s="254"/>
      <c r="K330" s="206">
        <f>SUM(K329:K329)</f>
        <v>500000</v>
      </c>
      <c r="L330" s="206">
        <f>SUM(L329:L329)</f>
        <v>500000</v>
      </c>
      <c r="M330" s="185"/>
    </row>
    <row r="331" spans="1:14" s="71" customFormat="1" ht="12.75" customHeight="1" outlineLevel="1" x14ac:dyDescent="0.2">
      <c r="A331" s="196">
        <v>43355</v>
      </c>
      <c r="B331" s="196">
        <v>43357</v>
      </c>
      <c r="C331" s="196" t="s">
        <v>124</v>
      </c>
      <c r="D331" s="175" t="s">
        <v>232</v>
      </c>
      <c r="E331" s="180">
        <v>43447</v>
      </c>
      <c r="F331" s="203" t="s">
        <v>134</v>
      </c>
      <c r="G331" s="203">
        <v>5.2999999999999999E-2</v>
      </c>
      <c r="H331" s="197">
        <v>6.7400000000000002E-2</v>
      </c>
      <c r="I331" s="197">
        <v>5.5753299999999999E-2</v>
      </c>
      <c r="J331" s="197">
        <v>5.7000000000000002E-2</v>
      </c>
      <c r="K331" s="205">
        <v>12200000</v>
      </c>
      <c r="L331" s="205">
        <v>3000000</v>
      </c>
      <c r="M331" s="204">
        <f t="shared" ref="M331:M337" si="48">IF(L331=0,0,K331/L331)</f>
        <v>4.0666666666666664</v>
      </c>
    </row>
    <row r="332" spans="1:14" s="71" customFormat="1" ht="12.75" customHeight="1" outlineLevel="1" x14ac:dyDescent="0.2">
      <c r="A332" s="172"/>
      <c r="B332" s="172"/>
      <c r="C332" s="172"/>
      <c r="D332" s="175" t="s">
        <v>233</v>
      </c>
      <c r="E332" s="180">
        <v>43721</v>
      </c>
      <c r="F332" s="203" t="s">
        <v>134</v>
      </c>
      <c r="G332" s="203">
        <v>6.1800000000000001E-2</v>
      </c>
      <c r="H332" s="197">
        <v>7.4999999999999997E-2</v>
      </c>
      <c r="I332" s="197">
        <v>6.3475599999999993E-2</v>
      </c>
      <c r="J332" s="197">
        <v>6.4600000000000005E-2</v>
      </c>
      <c r="K332" s="205">
        <v>7850000</v>
      </c>
      <c r="L332" s="205">
        <v>4500000</v>
      </c>
      <c r="M332" s="204">
        <f t="shared" si="48"/>
        <v>1.7444444444444445</v>
      </c>
    </row>
    <row r="333" spans="1:14" s="71" customFormat="1" ht="12.75" customHeight="1" outlineLevel="1" x14ac:dyDescent="0.2">
      <c r="A333" s="172"/>
      <c r="B333" s="172"/>
      <c r="C333" s="172"/>
      <c r="D333" s="175" t="s">
        <v>94</v>
      </c>
      <c r="E333" s="180">
        <v>45061</v>
      </c>
      <c r="F333" s="203">
        <v>5.6250000000000001E-2</v>
      </c>
      <c r="G333" s="203">
        <v>8.3900000000000002E-2</v>
      </c>
      <c r="H333" s="203">
        <v>8.7999999999999995E-2</v>
      </c>
      <c r="I333" s="197">
        <v>8.5281999999999997E-2</v>
      </c>
      <c r="J333" s="197">
        <v>8.5800000000000001E-2</v>
      </c>
      <c r="K333" s="205">
        <v>8294000</v>
      </c>
      <c r="L333" s="205">
        <v>4850000</v>
      </c>
      <c r="M333" s="204">
        <f t="shared" si="48"/>
        <v>1.7101030927835053</v>
      </c>
    </row>
    <row r="334" spans="1:14" s="71" customFormat="1" ht="12.75" customHeight="1" outlineLevel="1" x14ac:dyDescent="0.2">
      <c r="A334" s="172"/>
      <c r="B334" s="172"/>
      <c r="C334" s="172"/>
      <c r="D334" s="175" t="s">
        <v>95</v>
      </c>
      <c r="E334" s="180">
        <v>46888</v>
      </c>
      <c r="F334" s="203">
        <v>6.1249999999999999E-2</v>
      </c>
      <c r="G334" s="203">
        <v>8.6300000000000002E-2</v>
      </c>
      <c r="H334" s="203">
        <v>9.2499999999999999E-2</v>
      </c>
      <c r="I334" s="197">
        <v>8.6691799999999999E-2</v>
      </c>
      <c r="J334" s="197">
        <v>8.6900000000000005E-2</v>
      </c>
      <c r="K334" s="205">
        <v>3834500</v>
      </c>
      <c r="L334" s="205">
        <v>1350000</v>
      </c>
      <c r="M334" s="204">
        <f t="shared" si="48"/>
        <v>2.8403703703703704</v>
      </c>
    </row>
    <row r="335" spans="1:14" s="71" customFormat="1" ht="12.75" customHeight="1" outlineLevel="1" x14ac:dyDescent="0.2">
      <c r="A335" s="172"/>
      <c r="B335" s="172"/>
      <c r="C335" s="172"/>
      <c r="D335" s="175" t="s">
        <v>98</v>
      </c>
      <c r="E335" s="180">
        <v>48714</v>
      </c>
      <c r="F335" s="203">
        <v>6.6250000000000003E-2</v>
      </c>
      <c r="G335" s="203">
        <v>8.7499999999999994E-2</v>
      </c>
      <c r="H335" s="203">
        <v>9.5000000000000001E-2</v>
      </c>
      <c r="I335" s="197">
        <v>8.8053099999999995E-2</v>
      </c>
      <c r="J335" s="197">
        <v>8.8700000000000001E-2</v>
      </c>
      <c r="K335" s="205">
        <v>1842000</v>
      </c>
      <c r="L335" s="205">
        <v>500000</v>
      </c>
      <c r="M335" s="204">
        <f t="shared" si="48"/>
        <v>3.6840000000000002</v>
      </c>
    </row>
    <row r="336" spans="1:14" s="71" customFormat="1" ht="12.75" customHeight="1" outlineLevel="1" x14ac:dyDescent="0.2">
      <c r="A336" s="172"/>
      <c r="B336" s="172"/>
      <c r="C336" s="172"/>
      <c r="D336" s="175" t="s">
        <v>138</v>
      </c>
      <c r="E336" s="180">
        <v>50540</v>
      </c>
      <c r="F336" s="203">
        <v>7.4999999999999997E-2</v>
      </c>
      <c r="G336" s="203">
        <v>9.0200000000000002E-2</v>
      </c>
      <c r="H336" s="203">
        <v>9.7500000000000003E-2</v>
      </c>
      <c r="I336" s="197">
        <v>9.1598100000000002E-2</v>
      </c>
      <c r="J336" s="197">
        <v>9.2200000000000004E-2</v>
      </c>
      <c r="K336" s="205">
        <v>2481300</v>
      </c>
      <c r="L336" s="205">
        <v>1700000</v>
      </c>
      <c r="M336" s="204">
        <f t="shared" si="48"/>
        <v>1.4595882352941176</v>
      </c>
    </row>
    <row r="337" spans="1:14" s="71" customFormat="1" ht="12.75" customHeight="1" outlineLevel="1" x14ac:dyDescent="0.2">
      <c r="A337" s="172"/>
      <c r="B337" s="172"/>
      <c r="C337" s="172"/>
      <c r="D337" s="175" t="s">
        <v>175</v>
      </c>
      <c r="E337" s="180">
        <v>54193</v>
      </c>
      <c r="F337" s="203">
        <v>7.3749999999999996E-2</v>
      </c>
      <c r="G337" s="203">
        <v>9.1399999999999995E-2</v>
      </c>
      <c r="H337" s="203">
        <v>9.35E-2</v>
      </c>
      <c r="I337" s="197">
        <v>9.2192300000000005E-2</v>
      </c>
      <c r="J337" s="197">
        <v>9.2600000000000002E-2</v>
      </c>
      <c r="K337" s="205">
        <v>383000</v>
      </c>
      <c r="L337" s="205">
        <v>310000</v>
      </c>
      <c r="M337" s="204">
        <f t="shared" si="48"/>
        <v>1.235483870967742</v>
      </c>
    </row>
    <row r="338" spans="1:14" s="71" customFormat="1" ht="12.75" customHeight="1" outlineLevel="1" x14ac:dyDescent="0.2">
      <c r="A338" s="252" t="s">
        <v>121</v>
      </c>
      <c r="B338" s="253"/>
      <c r="C338" s="253"/>
      <c r="D338" s="253"/>
      <c r="E338" s="253"/>
      <c r="F338" s="253"/>
      <c r="G338" s="253"/>
      <c r="H338" s="253"/>
      <c r="I338" s="253"/>
      <c r="J338" s="254"/>
      <c r="K338" s="206">
        <f>SUM(K331:K337)</f>
        <v>36884800</v>
      </c>
      <c r="L338" s="206">
        <f>SUM(L331:L337)</f>
        <v>16210000</v>
      </c>
      <c r="M338" s="185"/>
    </row>
    <row r="339" spans="1:14" s="71" customFormat="1" ht="12.75" customHeight="1" outlineLevel="1" x14ac:dyDescent="0.2">
      <c r="A339" s="231">
        <v>43327</v>
      </c>
      <c r="B339" s="231">
        <v>43362</v>
      </c>
      <c r="C339" s="232" t="s">
        <v>123</v>
      </c>
      <c r="D339" s="233" t="s">
        <v>247</v>
      </c>
      <c r="E339" s="234">
        <v>44094</v>
      </c>
      <c r="F339" s="235">
        <v>8.0500000000000002E-2</v>
      </c>
      <c r="G339" s="235"/>
      <c r="H339" s="235"/>
      <c r="I339" s="235"/>
      <c r="J339" s="235"/>
      <c r="K339" s="236">
        <v>7322971</v>
      </c>
      <c r="L339" s="236">
        <v>7322971</v>
      </c>
      <c r="M339" s="204">
        <f>IF(L339=0,0,K339/L339)</f>
        <v>1</v>
      </c>
    </row>
    <row r="340" spans="1:14" s="71" customFormat="1" ht="12.75" customHeight="1" outlineLevel="1" x14ac:dyDescent="0.2">
      <c r="A340" s="252" t="s">
        <v>121</v>
      </c>
      <c r="B340" s="253"/>
      <c r="C340" s="253"/>
      <c r="D340" s="253"/>
      <c r="E340" s="253"/>
      <c r="F340" s="253"/>
      <c r="G340" s="253"/>
      <c r="H340" s="253"/>
      <c r="I340" s="253"/>
      <c r="J340" s="254"/>
      <c r="K340" s="206">
        <f>K339</f>
        <v>7322971</v>
      </c>
      <c r="L340" s="206">
        <f>L339</f>
        <v>7322971</v>
      </c>
      <c r="M340" s="185"/>
    </row>
    <row r="341" spans="1:14" s="71" customFormat="1" ht="12.75" customHeight="1" outlineLevel="1" x14ac:dyDescent="0.2">
      <c r="A341" s="196">
        <v>43361</v>
      </c>
      <c r="B341" s="180">
        <v>43363</v>
      </c>
      <c r="C341" s="190" t="s">
        <v>124</v>
      </c>
      <c r="D341" s="219" t="s">
        <v>229</v>
      </c>
      <c r="E341" s="180">
        <v>43529</v>
      </c>
      <c r="F341" s="203" t="s">
        <v>134</v>
      </c>
      <c r="G341" s="203">
        <v>6.4687499999999995E-2</v>
      </c>
      <c r="H341" s="203">
        <v>7.4999999999999997E-2</v>
      </c>
      <c r="I341" s="197">
        <v>6.6353400000000007E-2</v>
      </c>
      <c r="J341" s="220"/>
      <c r="K341" s="221">
        <v>4193000</v>
      </c>
      <c r="L341" s="222">
        <v>1300000</v>
      </c>
      <c r="M341" s="223">
        <f>IF(L341=0,0,K341/L341)</f>
        <v>3.2253846153846153</v>
      </c>
    </row>
    <row r="342" spans="1:14" s="71" customFormat="1" ht="12.75" customHeight="1" outlineLevel="1" x14ac:dyDescent="0.2">
      <c r="A342" s="196"/>
      <c r="B342" s="180"/>
      <c r="C342" s="190"/>
      <c r="D342" s="219" t="s">
        <v>150</v>
      </c>
      <c r="E342" s="180">
        <v>43905</v>
      </c>
      <c r="F342" s="203">
        <v>6.25E-2</v>
      </c>
      <c r="G342" s="203">
        <v>7.7499999999999999E-2</v>
      </c>
      <c r="H342" s="203">
        <v>8.5000000000000006E-2</v>
      </c>
      <c r="I342" s="197">
        <v>7.9436099999999996E-2</v>
      </c>
      <c r="J342" s="197"/>
      <c r="K342" s="183">
        <v>1440500</v>
      </c>
      <c r="L342" s="205">
        <v>1260000</v>
      </c>
      <c r="M342" s="204">
        <f t="shared" ref="M342:M344" si="49">IF(L342=0,0,K342/L342)</f>
        <v>1.1432539682539682</v>
      </c>
    </row>
    <row r="343" spans="1:14" s="71" customFormat="1" ht="12.75" customHeight="1" outlineLevel="1" x14ac:dyDescent="0.2">
      <c r="A343" s="172"/>
      <c r="B343" s="172"/>
      <c r="C343" s="172"/>
      <c r="D343" s="219" t="s">
        <v>49</v>
      </c>
      <c r="E343" s="180">
        <v>44576</v>
      </c>
      <c r="F343" s="203">
        <v>5.45E-2</v>
      </c>
      <c r="G343" s="203">
        <v>8.2500000000000004E-2</v>
      </c>
      <c r="H343" s="203">
        <v>8.5000000000000006E-2</v>
      </c>
      <c r="I343" s="197">
        <v>8.4069900000000003E-2</v>
      </c>
      <c r="J343" s="197"/>
      <c r="K343" s="183">
        <v>85000</v>
      </c>
      <c r="L343" s="205">
        <v>60000</v>
      </c>
      <c r="M343" s="204">
        <f t="shared" si="49"/>
        <v>1.4166666666666667</v>
      </c>
    </row>
    <row r="344" spans="1:14" s="71" customFormat="1" ht="12.75" customHeight="1" outlineLevel="1" x14ac:dyDescent="0.2">
      <c r="A344" s="172"/>
      <c r="B344" s="172"/>
      <c r="C344" s="172"/>
      <c r="D344" s="219" t="s">
        <v>151</v>
      </c>
      <c r="E344" s="180">
        <v>45945</v>
      </c>
      <c r="F344" s="203">
        <v>6.1249999999999999E-2</v>
      </c>
      <c r="G344" s="203">
        <v>8.6874999999999994E-2</v>
      </c>
      <c r="H344" s="203">
        <v>9.0624999999999997E-2</v>
      </c>
      <c r="I344" s="197">
        <v>8.8443900000000006E-2</v>
      </c>
      <c r="J344" s="197"/>
      <c r="K344" s="183">
        <v>111000</v>
      </c>
      <c r="L344" s="229">
        <v>70000</v>
      </c>
      <c r="M344" s="230">
        <f t="shared" si="49"/>
        <v>1.5857142857142856</v>
      </c>
      <c r="N344" s="186"/>
    </row>
    <row r="345" spans="1:14" s="71" customFormat="1" ht="12.75" customHeight="1" outlineLevel="1" x14ac:dyDescent="0.2">
      <c r="A345" s="172"/>
      <c r="B345" s="172"/>
      <c r="C345" s="172"/>
      <c r="D345" s="219" t="s">
        <v>152</v>
      </c>
      <c r="E345" s="180">
        <v>11642</v>
      </c>
      <c r="F345" s="203">
        <v>8.8749999999999996E-2</v>
      </c>
      <c r="G345" s="203">
        <v>8.9374999999999996E-2</v>
      </c>
      <c r="H345" s="203">
        <v>9.2812500000000006E-2</v>
      </c>
      <c r="I345" s="197">
        <v>9.1697000000000001E-2</v>
      </c>
      <c r="J345" s="197"/>
      <c r="K345" s="183">
        <v>1234500</v>
      </c>
      <c r="L345" s="229">
        <v>1060000</v>
      </c>
      <c r="M345" s="230">
        <f t="shared" ref="M345" si="50">IF(L345=0,0,K345/L345)</f>
        <v>1.1646226415094341</v>
      </c>
    </row>
    <row r="346" spans="1:14" s="71" customFormat="1" ht="12.75" customHeight="1" outlineLevel="1" x14ac:dyDescent="0.2">
      <c r="A346" s="172"/>
      <c r="B346" s="172"/>
      <c r="C346" s="172"/>
      <c r="D346" s="219" t="s">
        <v>165</v>
      </c>
      <c r="E346" s="180">
        <v>53888</v>
      </c>
      <c r="F346" s="203">
        <v>0.08</v>
      </c>
      <c r="G346" s="203">
        <v>9.2187500000000006E-2</v>
      </c>
      <c r="H346" s="203">
        <v>9.5000000000000001E-2</v>
      </c>
      <c r="I346" s="197">
        <v>9.4102599999999995E-2</v>
      </c>
      <c r="J346" s="197"/>
      <c r="K346" s="183">
        <v>1153000</v>
      </c>
      <c r="L346" s="229">
        <v>1153000</v>
      </c>
      <c r="M346" s="230">
        <f t="shared" ref="M346" si="51">IF(L346=0,0,K346/L346)</f>
        <v>1</v>
      </c>
    </row>
    <row r="347" spans="1:14" s="71" customFormat="1" ht="12.75" customHeight="1" outlineLevel="1" x14ac:dyDescent="0.2">
      <c r="A347" s="252" t="s">
        <v>121</v>
      </c>
      <c r="B347" s="253"/>
      <c r="C347" s="253"/>
      <c r="D347" s="253"/>
      <c r="E347" s="253"/>
      <c r="F347" s="253"/>
      <c r="G347" s="253"/>
      <c r="H347" s="253"/>
      <c r="I347" s="253"/>
      <c r="J347" s="254"/>
      <c r="K347" s="206">
        <f>SUM(K341:K346)</f>
        <v>8217000</v>
      </c>
      <c r="L347" s="206">
        <f>SUM(L341:L346)</f>
        <v>4903000</v>
      </c>
      <c r="M347" s="185"/>
    </row>
    <row r="348" spans="1:14" s="71" customFormat="1" ht="12.75" customHeight="1" outlineLevel="1" x14ac:dyDescent="0.2">
      <c r="A348" s="180">
        <v>43362</v>
      </c>
      <c r="B348" s="180">
        <v>43363</v>
      </c>
      <c r="C348" s="228" t="s">
        <v>160</v>
      </c>
      <c r="D348" s="244" t="s">
        <v>228</v>
      </c>
      <c r="E348" s="180">
        <v>49810</v>
      </c>
      <c r="F348" s="203">
        <v>8.2500000000000004E-2</v>
      </c>
      <c r="G348" s="203"/>
      <c r="H348" s="203"/>
      <c r="I348" s="197"/>
      <c r="J348" s="197"/>
      <c r="K348" s="221">
        <v>1000000</v>
      </c>
      <c r="L348" s="221">
        <v>1000000</v>
      </c>
      <c r="M348" s="204">
        <f>IF(L348=0,0,K348/L348)</f>
        <v>1</v>
      </c>
    </row>
    <row r="349" spans="1:14" s="71" customFormat="1" ht="12.75" customHeight="1" outlineLevel="1" x14ac:dyDescent="0.2">
      <c r="A349" s="252" t="s">
        <v>121</v>
      </c>
      <c r="B349" s="253"/>
      <c r="C349" s="253"/>
      <c r="D349" s="253"/>
      <c r="E349" s="253"/>
      <c r="F349" s="253"/>
      <c r="G349" s="253"/>
      <c r="H349" s="253"/>
      <c r="I349" s="253"/>
      <c r="J349" s="254"/>
      <c r="K349" s="206">
        <f>SUM(K348:K348)</f>
        <v>1000000</v>
      </c>
      <c r="L349" s="206">
        <f>SUM(L348:L348)</f>
        <v>1000000</v>
      </c>
      <c r="M349" s="185"/>
    </row>
    <row r="350" spans="1:14" s="71" customFormat="1" ht="12.75" customHeight="1" outlineLevel="1" x14ac:dyDescent="0.2">
      <c r="A350" s="196">
        <v>43361</v>
      </c>
      <c r="B350" s="180">
        <v>43367</v>
      </c>
      <c r="C350" s="228" t="s">
        <v>160</v>
      </c>
      <c r="D350" s="175" t="s">
        <v>50</v>
      </c>
      <c r="E350" s="180">
        <v>46402</v>
      </c>
      <c r="F350" s="203">
        <v>0.06</v>
      </c>
      <c r="G350" s="203"/>
      <c r="H350" s="203"/>
      <c r="I350" s="197"/>
      <c r="J350" s="197"/>
      <c r="K350" s="221">
        <v>500000</v>
      </c>
      <c r="L350" s="221">
        <v>500000</v>
      </c>
      <c r="M350" s="204">
        <f>IF(L350=0,0,K350/L350)</f>
        <v>1</v>
      </c>
    </row>
    <row r="351" spans="1:14" s="71" customFormat="1" ht="12.75" customHeight="1" outlineLevel="1" x14ac:dyDescent="0.2">
      <c r="A351" s="252" t="s">
        <v>121</v>
      </c>
      <c r="B351" s="253"/>
      <c r="C351" s="253"/>
      <c r="D351" s="253"/>
      <c r="E351" s="253"/>
      <c r="F351" s="253"/>
      <c r="G351" s="253"/>
      <c r="H351" s="253"/>
      <c r="I351" s="253"/>
      <c r="J351" s="254"/>
      <c r="K351" s="206">
        <f>SUM(K350:K350)</f>
        <v>500000</v>
      </c>
      <c r="L351" s="206">
        <f>SUM(L350:L350)</f>
        <v>500000</v>
      </c>
      <c r="M351" s="185"/>
    </row>
    <row r="352" spans="1:14" s="71" customFormat="1" ht="12.75" customHeight="1" outlineLevel="1" x14ac:dyDescent="0.2">
      <c r="A352" s="196">
        <v>43368</v>
      </c>
      <c r="B352" s="196">
        <v>43370</v>
      </c>
      <c r="C352" s="196" t="s">
        <v>124</v>
      </c>
      <c r="D352" s="175" t="s">
        <v>235</v>
      </c>
      <c r="E352" s="180">
        <v>43460</v>
      </c>
      <c r="F352" s="203" t="s">
        <v>134</v>
      </c>
      <c r="G352" s="203">
        <v>5.5E-2</v>
      </c>
      <c r="H352" s="197">
        <v>5.8000000000000003E-2</v>
      </c>
      <c r="I352" s="197">
        <v>5.5759999999999997E-2</v>
      </c>
      <c r="J352" s="197">
        <v>5.5899999999999998E-2</v>
      </c>
      <c r="K352" s="205">
        <v>15000000</v>
      </c>
      <c r="L352" s="205">
        <v>3000000</v>
      </c>
      <c r="M352" s="204">
        <f t="shared" ref="M352:M357" si="52">IF(L352=0,0,K352/L352)</f>
        <v>5</v>
      </c>
    </row>
    <row r="353" spans="1:15" s="71" customFormat="1" ht="12.75" customHeight="1" outlineLevel="1" x14ac:dyDescent="0.2">
      <c r="A353" s="172"/>
      <c r="B353" s="172"/>
      <c r="C353" s="172"/>
      <c r="D353" s="175" t="s">
        <v>207</v>
      </c>
      <c r="E353" s="180">
        <v>43622</v>
      </c>
      <c r="F353" s="203" t="s">
        <v>134</v>
      </c>
      <c r="G353" s="203">
        <v>5.8599999999999999E-2</v>
      </c>
      <c r="H353" s="197">
        <v>7.0000000000000007E-2</v>
      </c>
      <c r="I353" s="197">
        <v>5.876E-2</v>
      </c>
      <c r="J353" s="197">
        <v>5.8999999999999997E-2</v>
      </c>
      <c r="K353" s="205">
        <v>9000000</v>
      </c>
      <c r="L353" s="205">
        <v>1500000</v>
      </c>
      <c r="M353" s="204">
        <f t="shared" si="52"/>
        <v>6</v>
      </c>
    </row>
    <row r="354" spans="1:15" s="71" customFormat="1" ht="12.75" customHeight="1" outlineLevel="1" x14ac:dyDescent="0.2">
      <c r="A354" s="172"/>
      <c r="B354" s="172"/>
      <c r="C354" s="172"/>
      <c r="D354" s="175" t="s">
        <v>236</v>
      </c>
      <c r="E354" s="180">
        <v>45427</v>
      </c>
      <c r="F354" s="203">
        <v>8.1250000000000003E-2</v>
      </c>
      <c r="G354" s="203">
        <v>8.1199999999999994E-2</v>
      </c>
      <c r="H354" s="203">
        <v>8.5999999999999993E-2</v>
      </c>
      <c r="I354" s="197">
        <v>8.21987E-2</v>
      </c>
      <c r="J354" s="197">
        <v>8.2600000000000007E-2</v>
      </c>
      <c r="K354" s="205">
        <v>11191800</v>
      </c>
      <c r="L354" s="205">
        <v>5200000</v>
      </c>
      <c r="M354" s="204">
        <f t="shared" si="52"/>
        <v>2.1522692307692308</v>
      </c>
    </row>
    <row r="355" spans="1:15" s="71" customFormat="1" ht="12.75" customHeight="1" outlineLevel="1" x14ac:dyDescent="0.2">
      <c r="A355" s="172"/>
      <c r="B355" s="172"/>
      <c r="C355" s="172"/>
      <c r="D355" s="175" t="s">
        <v>237</v>
      </c>
      <c r="E355" s="180">
        <v>47253</v>
      </c>
      <c r="F355" s="203">
        <v>8.2500000000000004E-2</v>
      </c>
      <c r="G355" s="203">
        <v>8.2000000000000003E-2</v>
      </c>
      <c r="H355" s="203">
        <v>8.5500000000000007E-2</v>
      </c>
      <c r="I355" s="197">
        <v>8.2693699999999995E-2</v>
      </c>
      <c r="J355" s="197">
        <v>8.3099999999999993E-2</v>
      </c>
      <c r="K355" s="205">
        <v>12215000</v>
      </c>
      <c r="L355" s="205">
        <v>7950000</v>
      </c>
      <c r="M355" s="204">
        <f t="shared" si="52"/>
        <v>1.5364779874213836</v>
      </c>
    </row>
    <row r="356" spans="1:15" s="71" customFormat="1" ht="12.75" customHeight="1" outlineLevel="1" x14ac:dyDescent="0.2">
      <c r="A356" s="172"/>
      <c r="B356" s="172"/>
      <c r="C356" s="172"/>
      <c r="D356" s="175" t="s">
        <v>98</v>
      </c>
      <c r="E356" s="180">
        <v>48714</v>
      </c>
      <c r="F356" s="203">
        <v>6.6250000000000003E-2</v>
      </c>
      <c r="G356" s="203">
        <v>8.3599999999999994E-2</v>
      </c>
      <c r="H356" s="203">
        <v>8.6400000000000005E-2</v>
      </c>
      <c r="I356" s="197">
        <v>8.4278400000000003E-2</v>
      </c>
      <c r="J356" s="197">
        <v>8.48E-2</v>
      </c>
      <c r="K356" s="205">
        <v>2941000</v>
      </c>
      <c r="L356" s="205">
        <v>1600000</v>
      </c>
      <c r="M356" s="204">
        <f t="shared" si="52"/>
        <v>1.838125</v>
      </c>
    </row>
    <row r="357" spans="1:15" s="71" customFormat="1" ht="12.75" customHeight="1" outlineLevel="1" x14ac:dyDescent="0.2">
      <c r="A357" s="172"/>
      <c r="B357" s="172"/>
      <c r="C357" s="172"/>
      <c r="D357" s="175" t="s">
        <v>138</v>
      </c>
      <c r="E357" s="180">
        <v>50540</v>
      </c>
      <c r="F357" s="203">
        <v>7.4999999999999997E-2</v>
      </c>
      <c r="G357" s="203">
        <v>8.6800000000000002E-2</v>
      </c>
      <c r="H357" s="203">
        <v>9.1999999999999998E-2</v>
      </c>
      <c r="I357" s="197">
        <v>8.7288199999999996E-2</v>
      </c>
      <c r="J357" s="197">
        <v>8.7499999999999994E-2</v>
      </c>
      <c r="K357" s="205">
        <v>1187500</v>
      </c>
      <c r="L357" s="205">
        <v>750000</v>
      </c>
      <c r="M357" s="204">
        <f t="shared" si="52"/>
        <v>1.5833333333333333</v>
      </c>
    </row>
    <row r="358" spans="1:15" s="71" customFormat="1" ht="12.75" customHeight="1" outlineLevel="1" x14ac:dyDescent="0.2">
      <c r="A358" s="252" t="s">
        <v>121</v>
      </c>
      <c r="B358" s="253"/>
      <c r="C358" s="253"/>
      <c r="D358" s="253"/>
      <c r="E358" s="253"/>
      <c r="F358" s="253"/>
      <c r="G358" s="253"/>
      <c r="H358" s="253"/>
      <c r="I358" s="253"/>
      <c r="J358" s="254"/>
      <c r="K358" s="206">
        <f>SUM(K352:K357)</f>
        <v>51535300</v>
      </c>
      <c r="L358" s="206">
        <f>SUM(L352:L357)</f>
        <v>20000000</v>
      </c>
      <c r="M358" s="185"/>
    </row>
    <row r="359" spans="1:15" s="198" customFormat="1" ht="12.75" customHeight="1" x14ac:dyDescent="0.2">
      <c r="A359" s="255" t="s">
        <v>231</v>
      </c>
      <c r="B359" s="256"/>
      <c r="C359" s="256"/>
      <c r="D359" s="256"/>
      <c r="E359" s="256"/>
      <c r="F359" s="256"/>
      <c r="G359" s="256"/>
      <c r="H359" s="256"/>
      <c r="I359" s="256"/>
      <c r="J359" s="257"/>
      <c r="K359" s="202">
        <f>K328+K330+K338+K340+K347+K349+K351+K358</f>
        <v>116440071</v>
      </c>
      <c r="L359" s="202">
        <f>L328+L330+L338+L340+L347+L349+L351+L358</f>
        <v>55240971</v>
      </c>
      <c r="M359" s="201"/>
      <c r="O359" s="199"/>
    </row>
    <row r="360" spans="1:15" s="198" customFormat="1" ht="12.75" customHeight="1" x14ac:dyDescent="0.2">
      <c r="A360" s="255" t="s">
        <v>234</v>
      </c>
      <c r="B360" s="256"/>
      <c r="C360" s="256"/>
      <c r="D360" s="256"/>
      <c r="E360" s="256"/>
      <c r="F360" s="256"/>
      <c r="G360" s="256"/>
      <c r="H360" s="256"/>
      <c r="I360" s="256"/>
      <c r="J360" s="257"/>
      <c r="K360" s="202">
        <f>SUM(K321,K359)</f>
        <v>1202334057</v>
      </c>
      <c r="L360" s="202">
        <f>SUM(L321,L359)</f>
        <v>636747871</v>
      </c>
      <c r="M360" s="201"/>
      <c r="N360" s="39"/>
    </row>
    <row r="361" spans="1:15" s="71" customFormat="1" ht="12.75" customHeight="1" outlineLevel="1" x14ac:dyDescent="0.2">
      <c r="A361" s="196">
        <v>43375</v>
      </c>
      <c r="B361" s="180">
        <v>43377</v>
      </c>
      <c r="C361" s="190" t="s">
        <v>124</v>
      </c>
      <c r="D361" s="219" t="s">
        <v>238</v>
      </c>
      <c r="E361" s="180">
        <v>43558</v>
      </c>
      <c r="F361" s="203" t="s">
        <v>134</v>
      </c>
      <c r="G361" s="203">
        <v>6.6562499999999997E-2</v>
      </c>
      <c r="H361" s="203">
        <v>7.2499999999999995E-2</v>
      </c>
      <c r="I361" s="197">
        <v>6.7591100000000001E-2</v>
      </c>
      <c r="J361" s="220"/>
      <c r="K361" s="221">
        <v>3864000</v>
      </c>
      <c r="L361" s="222">
        <v>1400000</v>
      </c>
      <c r="M361" s="223">
        <f>IF(L361=0,0,K361/L361)</f>
        <v>2.76</v>
      </c>
    </row>
    <row r="362" spans="1:15" s="71" customFormat="1" ht="12.75" customHeight="1" outlineLevel="1" x14ac:dyDescent="0.2">
      <c r="A362" s="196"/>
      <c r="B362" s="180"/>
      <c r="C362" s="190"/>
      <c r="D362" s="219" t="s">
        <v>239</v>
      </c>
      <c r="E362" s="180">
        <v>43649</v>
      </c>
      <c r="F362" s="203" t="s">
        <v>134</v>
      </c>
      <c r="G362" s="203">
        <v>7.0000000000000007E-2</v>
      </c>
      <c r="H362" s="203">
        <v>7.2499999999999995E-2</v>
      </c>
      <c r="I362" s="197">
        <v>7.1562500000000001E-2</v>
      </c>
      <c r="J362" s="197"/>
      <c r="K362" s="183">
        <v>2500000</v>
      </c>
      <c r="L362" s="205">
        <v>1000000</v>
      </c>
      <c r="M362" s="204">
        <f t="shared" ref="M362:M366" si="53">IF(L362=0,0,K362/L362)</f>
        <v>2.5</v>
      </c>
    </row>
    <row r="363" spans="1:15" s="71" customFormat="1" ht="12.75" customHeight="1" outlineLevel="1" x14ac:dyDescent="0.2">
      <c r="A363" s="172"/>
      <c r="B363" s="172"/>
      <c r="C363" s="172"/>
      <c r="D363" s="219" t="s">
        <v>150</v>
      </c>
      <c r="E363" s="180">
        <v>43905</v>
      </c>
      <c r="F363" s="203">
        <v>6.25E-2</v>
      </c>
      <c r="G363" s="203">
        <v>7.7812500000000007E-2</v>
      </c>
      <c r="H363" s="203">
        <v>8.4687499999999999E-2</v>
      </c>
      <c r="I363" s="197">
        <v>7.9551499999999997E-2</v>
      </c>
      <c r="J363" s="197"/>
      <c r="K363" s="183">
        <v>2482000</v>
      </c>
      <c r="L363" s="205">
        <v>1510000</v>
      </c>
      <c r="M363" s="204">
        <f t="shared" ref="M363" si="54">IF(L363=0,0,K363/L363)</f>
        <v>1.6437086092715232</v>
      </c>
    </row>
    <row r="364" spans="1:15" s="71" customFormat="1" ht="12.75" customHeight="1" outlineLevel="1" x14ac:dyDescent="0.2">
      <c r="A364" s="172"/>
      <c r="B364" s="172"/>
      <c r="C364" s="172"/>
      <c r="D364" s="219" t="s">
        <v>240</v>
      </c>
      <c r="E364" s="180">
        <v>45184</v>
      </c>
      <c r="F364" s="203">
        <v>8.2500000000000004E-2</v>
      </c>
      <c r="G364" s="203">
        <v>8.1562499999999996E-2</v>
      </c>
      <c r="H364" s="203">
        <v>8.5625000000000007E-2</v>
      </c>
      <c r="I364" s="197">
        <v>8.2894700000000002E-2</v>
      </c>
      <c r="J364" s="197"/>
      <c r="K364" s="183">
        <v>127000</v>
      </c>
      <c r="L364" s="229">
        <v>65000</v>
      </c>
      <c r="M364" s="230">
        <f t="shared" si="53"/>
        <v>1.9538461538461538</v>
      </c>
      <c r="N364" s="186"/>
    </row>
    <row r="365" spans="1:15" s="71" customFormat="1" ht="12.75" customHeight="1" outlineLevel="1" x14ac:dyDescent="0.2">
      <c r="A365" s="172"/>
      <c r="B365" s="172"/>
      <c r="C365" s="172"/>
      <c r="D365" s="219" t="s">
        <v>152</v>
      </c>
      <c r="E365" s="180">
        <v>11642</v>
      </c>
      <c r="F365" s="203">
        <v>8.8749999999999996E-2</v>
      </c>
      <c r="G365" s="203">
        <v>8.6562500000000001E-2</v>
      </c>
      <c r="H365" s="203">
        <v>9.2187500000000006E-2</v>
      </c>
      <c r="I365" s="197">
        <v>8.7098200000000001E-2</v>
      </c>
      <c r="J365" s="197"/>
      <c r="K365" s="183">
        <v>356000</v>
      </c>
      <c r="L365" s="229">
        <v>100000</v>
      </c>
      <c r="M365" s="230">
        <f t="shared" si="53"/>
        <v>3.56</v>
      </c>
    </row>
    <row r="366" spans="1:15" s="71" customFormat="1" ht="12.75" customHeight="1" outlineLevel="1" x14ac:dyDescent="0.2">
      <c r="A366" s="172"/>
      <c r="B366" s="172"/>
      <c r="C366" s="172"/>
      <c r="D366" s="219" t="s">
        <v>165</v>
      </c>
      <c r="E366" s="180">
        <v>53888</v>
      </c>
      <c r="F366" s="203">
        <v>0.08</v>
      </c>
      <c r="G366" s="203">
        <v>9.3124999999999999E-2</v>
      </c>
      <c r="H366" s="203">
        <v>9.7187499999999996E-2</v>
      </c>
      <c r="I366" s="197">
        <v>9.4580700000000004E-2</v>
      </c>
      <c r="J366" s="197"/>
      <c r="K366" s="183">
        <v>1061000</v>
      </c>
      <c r="L366" s="229">
        <v>1030000</v>
      </c>
      <c r="M366" s="230">
        <f t="shared" si="53"/>
        <v>1.0300970873786408</v>
      </c>
    </row>
    <row r="367" spans="1:15" s="71" customFormat="1" ht="12.75" customHeight="1" outlineLevel="1" x14ac:dyDescent="0.2">
      <c r="A367" s="252" t="s">
        <v>121</v>
      </c>
      <c r="B367" s="253"/>
      <c r="C367" s="253"/>
      <c r="D367" s="253"/>
      <c r="E367" s="253"/>
      <c r="F367" s="253"/>
      <c r="G367" s="253"/>
      <c r="H367" s="253"/>
      <c r="I367" s="253"/>
      <c r="J367" s="254"/>
      <c r="K367" s="206">
        <f>SUM(K361:K366)</f>
        <v>10390000</v>
      </c>
      <c r="L367" s="206">
        <f>SUM(L361:L366)</f>
        <v>5105000</v>
      </c>
      <c r="M367" s="185"/>
    </row>
    <row r="368" spans="1:15" s="71" customFormat="1" ht="12.75" customHeight="1" outlineLevel="1" x14ac:dyDescent="0.2">
      <c r="A368" s="196">
        <v>43375</v>
      </c>
      <c r="B368" s="180">
        <v>43381</v>
      </c>
      <c r="C368" s="228" t="s">
        <v>160</v>
      </c>
      <c r="D368" s="175" t="s">
        <v>50</v>
      </c>
      <c r="E368" s="180">
        <v>46402</v>
      </c>
      <c r="F368" s="203">
        <v>0.06</v>
      </c>
      <c r="G368" s="203"/>
      <c r="H368" s="203"/>
      <c r="I368" s="197"/>
      <c r="J368" s="197"/>
      <c r="K368" s="221">
        <v>250000</v>
      </c>
      <c r="L368" s="221">
        <v>250000</v>
      </c>
      <c r="M368" s="204">
        <f>IF(L368=0,0,K368/L368)</f>
        <v>1</v>
      </c>
    </row>
    <row r="369" spans="1:14" s="71" customFormat="1" ht="12.75" customHeight="1" outlineLevel="1" x14ac:dyDescent="0.2">
      <c r="A369" s="252" t="s">
        <v>121</v>
      </c>
      <c r="B369" s="253"/>
      <c r="C369" s="253"/>
      <c r="D369" s="253"/>
      <c r="E369" s="253"/>
      <c r="F369" s="253"/>
      <c r="G369" s="253"/>
      <c r="H369" s="253"/>
      <c r="I369" s="253"/>
      <c r="J369" s="254"/>
      <c r="K369" s="206">
        <f>SUM(K368:K368)</f>
        <v>250000</v>
      </c>
      <c r="L369" s="206">
        <f>SUM(L368:L368)</f>
        <v>250000</v>
      </c>
      <c r="M369" s="185"/>
    </row>
    <row r="370" spans="1:14" s="71" customFormat="1" ht="12.75" customHeight="1" outlineLevel="1" x14ac:dyDescent="0.2">
      <c r="A370" s="196">
        <v>43382</v>
      </c>
      <c r="B370" s="180">
        <v>43384</v>
      </c>
      <c r="C370" s="190" t="s">
        <v>124</v>
      </c>
      <c r="D370" s="219" t="s">
        <v>242</v>
      </c>
      <c r="E370" s="180">
        <v>43475</v>
      </c>
      <c r="F370" s="203" t="s">
        <v>134</v>
      </c>
      <c r="G370" s="203">
        <v>5.7500000000000002E-2</v>
      </c>
      <c r="H370" s="203">
        <v>6.0499999999999998E-2</v>
      </c>
      <c r="I370" s="197">
        <v>5.7916700000000002E-2</v>
      </c>
      <c r="J370" s="220">
        <v>5.8200000000000002E-2</v>
      </c>
      <c r="K370" s="221">
        <v>7450000</v>
      </c>
      <c r="L370" s="222">
        <v>3000000</v>
      </c>
      <c r="M370" s="223">
        <f>IF(L370=0,0,K370/L370)</f>
        <v>2.4833333333333334</v>
      </c>
    </row>
    <row r="371" spans="1:14" s="71" customFormat="1" ht="12.75" customHeight="1" outlineLevel="1" x14ac:dyDescent="0.2">
      <c r="A371" s="196"/>
      <c r="B371" s="180"/>
      <c r="C371" s="190"/>
      <c r="D371" s="219" t="s">
        <v>243</v>
      </c>
      <c r="E371" s="180">
        <v>43748</v>
      </c>
      <c r="F371" s="203" t="s">
        <v>134</v>
      </c>
      <c r="G371" s="203">
        <v>6.2899999999999998E-2</v>
      </c>
      <c r="H371" s="203">
        <v>7.3999999999999996E-2</v>
      </c>
      <c r="I371" s="197">
        <v>6.3810000000000006E-2</v>
      </c>
      <c r="J371" s="197">
        <v>6.4600000000000005E-2</v>
      </c>
      <c r="K371" s="183">
        <v>10050000</v>
      </c>
      <c r="L371" s="205">
        <v>3000000</v>
      </c>
      <c r="M371" s="204">
        <f t="shared" ref="M371:M375" si="55">IF(L371=0,0,K371/L371)</f>
        <v>3.35</v>
      </c>
    </row>
    <row r="372" spans="1:14" s="71" customFormat="1" ht="12.75" customHeight="1" outlineLevel="1" x14ac:dyDescent="0.2">
      <c r="A372" s="172"/>
      <c r="B372" s="172"/>
      <c r="C372" s="172"/>
      <c r="D372" s="219" t="s">
        <v>236</v>
      </c>
      <c r="E372" s="180">
        <v>45427</v>
      </c>
      <c r="F372" s="203">
        <v>8.1250000000000003E-2</v>
      </c>
      <c r="G372" s="203">
        <v>8.4000000000000005E-2</v>
      </c>
      <c r="H372" s="203">
        <v>8.7999999999999995E-2</v>
      </c>
      <c r="I372" s="197">
        <v>8.4798100000000001E-2</v>
      </c>
      <c r="J372" s="197">
        <v>8.5199999999999998E-2</v>
      </c>
      <c r="K372" s="183">
        <v>10751000</v>
      </c>
      <c r="L372" s="205">
        <v>7550000</v>
      </c>
      <c r="M372" s="204">
        <f t="shared" si="55"/>
        <v>1.4239735099337749</v>
      </c>
    </row>
    <row r="373" spans="1:14" s="71" customFormat="1" ht="12.75" customHeight="1" outlineLevel="1" x14ac:dyDescent="0.2">
      <c r="A373" s="172"/>
      <c r="B373" s="172"/>
      <c r="C373" s="172"/>
      <c r="D373" s="219" t="s">
        <v>237</v>
      </c>
      <c r="E373" s="180">
        <v>47253</v>
      </c>
      <c r="F373" s="203">
        <v>8.2500000000000004E-2</v>
      </c>
      <c r="G373" s="203">
        <v>8.5000000000000006E-2</v>
      </c>
      <c r="H373" s="203">
        <v>8.7499999999999994E-2</v>
      </c>
      <c r="I373" s="197">
        <v>8.5596900000000004E-2</v>
      </c>
      <c r="J373" s="197">
        <v>8.5900000000000004E-2</v>
      </c>
      <c r="K373" s="183">
        <v>6061700</v>
      </c>
      <c r="L373" s="229">
        <v>3550000</v>
      </c>
      <c r="M373" s="230">
        <f t="shared" si="55"/>
        <v>1.7075211267605634</v>
      </c>
      <c r="N373" s="186"/>
    </row>
    <row r="374" spans="1:14" s="71" customFormat="1" ht="12.75" customHeight="1" outlineLevel="1" x14ac:dyDescent="0.2">
      <c r="A374" s="172"/>
      <c r="B374" s="172"/>
      <c r="C374" s="172"/>
      <c r="D374" s="219" t="s">
        <v>98</v>
      </c>
      <c r="E374" s="180">
        <v>48714</v>
      </c>
      <c r="F374" s="203">
        <v>6.6250000000000003E-2</v>
      </c>
      <c r="G374" s="203">
        <v>8.6999999999999994E-2</v>
      </c>
      <c r="H374" s="203">
        <v>9.2499999999999999E-2</v>
      </c>
      <c r="I374" s="197">
        <v>8.7594400000000003E-2</v>
      </c>
      <c r="J374" s="197">
        <v>8.7900000000000006E-2</v>
      </c>
      <c r="K374" s="183">
        <v>4355000</v>
      </c>
      <c r="L374" s="229">
        <v>1800000</v>
      </c>
      <c r="M374" s="230">
        <f t="shared" si="55"/>
        <v>2.4194444444444443</v>
      </c>
    </row>
    <row r="375" spans="1:14" s="71" customFormat="1" ht="12.75" customHeight="1" outlineLevel="1" x14ac:dyDescent="0.2">
      <c r="A375" s="172"/>
      <c r="B375" s="172"/>
      <c r="C375" s="172"/>
      <c r="D375" s="219" t="s">
        <v>138</v>
      </c>
      <c r="E375" s="180">
        <v>50540</v>
      </c>
      <c r="F375" s="203">
        <v>7.4999999999999997E-2</v>
      </c>
      <c r="G375" s="203">
        <v>8.6999999999999994E-2</v>
      </c>
      <c r="H375" s="203">
        <v>9.5000000000000001E-2</v>
      </c>
      <c r="I375" s="197">
        <v>8.9666899999999994E-2</v>
      </c>
      <c r="J375" s="197">
        <v>0.09</v>
      </c>
      <c r="K375" s="183">
        <v>2687000</v>
      </c>
      <c r="L375" s="229">
        <v>1100000</v>
      </c>
      <c r="M375" s="230">
        <f t="shared" si="55"/>
        <v>2.4427272727272729</v>
      </c>
    </row>
    <row r="376" spans="1:14" s="71" customFormat="1" ht="12.75" customHeight="1" outlineLevel="1" x14ac:dyDescent="0.2">
      <c r="A376" s="252" t="s">
        <v>121</v>
      </c>
      <c r="B376" s="253"/>
      <c r="C376" s="253"/>
      <c r="D376" s="253"/>
      <c r="E376" s="253"/>
      <c r="F376" s="253"/>
      <c r="G376" s="253"/>
      <c r="H376" s="253"/>
      <c r="I376" s="253"/>
      <c r="J376" s="254"/>
      <c r="K376" s="206">
        <f>SUM(K370:K375)</f>
        <v>41354700</v>
      </c>
      <c r="L376" s="206">
        <f>SUM(L370:L375)</f>
        <v>20000000</v>
      </c>
      <c r="M376" s="185"/>
    </row>
    <row r="377" spans="1:14" s="71" customFormat="1" ht="12.75" customHeight="1" outlineLevel="1" x14ac:dyDescent="0.2">
      <c r="A377" s="180">
        <v>43389</v>
      </c>
      <c r="B377" s="180">
        <v>43391</v>
      </c>
      <c r="C377" s="228" t="s">
        <v>160</v>
      </c>
      <c r="D377" s="244" t="s">
        <v>94</v>
      </c>
      <c r="E377" s="180">
        <v>45061</v>
      </c>
      <c r="F377" s="203">
        <v>5.6250000000000001E-2</v>
      </c>
      <c r="G377" s="203"/>
      <c r="H377" s="203"/>
      <c r="I377" s="197"/>
      <c r="J377" s="197"/>
      <c r="K377" s="221">
        <v>3000000</v>
      </c>
      <c r="L377" s="221">
        <v>3000000</v>
      </c>
      <c r="M377" s="204">
        <f>IF(L377=0,0,K377/L377)</f>
        <v>1</v>
      </c>
    </row>
    <row r="378" spans="1:14" s="71" customFormat="1" ht="12.75" customHeight="1" outlineLevel="1" x14ac:dyDescent="0.2">
      <c r="A378" s="252" t="s">
        <v>121</v>
      </c>
      <c r="B378" s="253"/>
      <c r="C378" s="253"/>
      <c r="D378" s="253"/>
      <c r="E378" s="253"/>
      <c r="F378" s="253"/>
      <c r="G378" s="253"/>
      <c r="H378" s="253"/>
      <c r="I378" s="253"/>
      <c r="J378" s="254"/>
      <c r="K378" s="206">
        <f>SUM(K377:K377)</f>
        <v>3000000</v>
      </c>
      <c r="L378" s="206">
        <f>SUM(L377:L377)</f>
        <v>3000000</v>
      </c>
      <c r="M378" s="185"/>
    </row>
    <row r="379" spans="1:14" s="71" customFormat="1" ht="12.75" customHeight="1" outlineLevel="1" x14ac:dyDescent="0.2">
      <c r="A379" s="196">
        <v>43389</v>
      </c>
      <c r="B379" s="180">
        <v>43391</v>
      </c>
      <c r="C379" s="190" t="s">
        <v>124</v>
      </c>
      <c r="D379" s="219" t="s">
        <v>238</v>
      </c>
      <c r="E379" s="180">
        <v>43558</v>
      </c>
      <c r="F379" s="203" t="s">
        <v>134</v>
      </c>
      <c r="G379" s="203">
        <v>6.6562499999999997E-2</v>
      </c>
      <c r="H379" s="203">
        <v>7.4999999999999997E-2</v>
      </c>
      <c r="I379" s="197">
        <v>6.7031300000000002E-2</v>
      </c>
      <c r="J379" s="220"/>
      <c r="K379" s="221">
        <v>4796000</v>
      </c>
      <c r="L379" s="222">
        <v>1000000</v>
      </c>
      <c r="M379" s="223">
        <f>IF(L379=0,0,K379/L379)</f>
        <v>4.7960000000000003</v>
      </c>
    </row>
    <row r="380" spans="1:14" s="71" customFormat="1" ht="12.75" customHeight="1" outlineLevel="1" x14ac:dyDescent="0.2">
      <c r="A380" s="196"/>
      <c r="B380" s="180"/>
      <c r="C380" s="190"/>
      <c r="D380" s="219" t="s">
        <v>239</v>
      </c>
      <c r="E380" s="180">
        <v>43649</v>
      </c>
      <c r="F380" s="203" t="s">
        <v>134</v>
      </c>
      <c r="G380" s="203">
        <v>6.9062499999999999E-2</v>
      </c>
      <c r="H380" s="203">
        <v>7.4999999999999997E-2</v>
      </c>
      <c r="I380" s="197">
        <v>6.9531300000000004E-2</v>
      </c>
      <c r="J380" s="197"/>
      <c r="K380" s="183">
        <v>3515000</v>
      </c>
      <c r="L380" s="205">
        <v>1000000</v>
      </c>
      <c r="M380" s="204">
        <f t="shared" ref="M380:M384" si="56">IF(L380=0,0,K380/L380)</f>
        <v>3.5150000000000001</v>
      </c>
    </row>
    <row r="381" spans="1:14" s="71" customFormat="1" ht="12.75" customHeight="1" outlineLevel="1" x14ac:dyDescent="0.2">
      <c r="A381" s="172"/>
      <c r="B381" s="172"/>
      <c r="C381" s="172"/>
      <c r="D381" s="219" t="s">
        <v>161</v>
      </c>
      <c r="E381" s="180">
        <v>44331</v>
      </c>
      <c r="F381" s="203">
        <v>6.5000000000000002E-2</v>
      </c>
      <c r="G381" s="203">
        <v>8.1562499999999996E-2</v>
      </c>
      <c r="H381" s="203">
        <v>8.7812500000000002E-2</v>
      </c>
      <c r="I381" s="197">
        <v>8.2595699999999994E-2</v>
      </c>
      <c r="J381" s="197"/>
      <c r="K381" s="183">
        <v>3124000</v>
      </c>
      <c r="L381" s="205">
        <v>1350000</v>
      </c>
      <c r="M381" s="204">
        <f t="shared" si="56"/>
        <v>2.3140740740740742</v>
      </c>
    </row>
    <row r="382" spans="1:14" s="71" customFormat="1" ht="12.75" customHeight="1" outlineLevel="1" x14ac:dyDescent="0.2">
      <c r="A382" s="172"/>
      <c r="B382" s="172"/>
      <c r="C382" s="172"/>
      <c r="D382" s="219" t="s">
        <v>240</v>
      </c>
      <c r="E382" s="180">
        <v>45184</v>
      </c>
      <c r="F382" s="203">
        <v>8.2500000000000004E-2</v>
      </c>
      <c r="G382" s="203">
        <v>8.7187500000000001E-2</v>
      </c>
      <c r="H382" s="203">
        <v>9.1249999999999998E-2</v>
      </c>
      <c r="I382" s="197">
        <v>8.8331000000000007E-2</v>
      </c>
      <c r="J382" s="197"/>
      <c r="K382" s="183">
        <v>945500</v>
      </c>
      <c r="L382" s="229">
        <v>765000</v>
      </c>
      <c r="M382" s="230">
        <f t="shared" si="56"/>
        <v>1.2359477124183007</v>
      </c>
      <c r="N382" s="186"/>
    </row>
    <row r="383" spans="1:14" s="71" customFormat="1" ht="12.75" customHeight="1" outlineLevel="1" x14ac:dyDescent="0.2">
      <c r="A383" s="172"/>
      <c r="B383" s="172"/>
      <c r="C383" s="172"/>
      <c r="D383" s="219" t="s">
        <v>151</v>
      </c>
      <c r="E383" s="180">
        <v>45945</v>
      </c>
      <c r="F383" s="203">
        <v>6.1249999999999999E-2</v>
      </c>
      <c r="G383" s="203">
        <v>9.1874999999999998E-2</v>
      </c>
      <c r="H383" s="203">
        <v>9.4062499999999993E-2</v>
      </c>
      <c r="I383" s="197">
        <v>9.1874999999999998E-2</v>
      </c>
      <c r="J383" s="197"/>
      <c r="K383" s="183">
        <v>539000</v>
      </c>
      <c r="L383" s="229">
        <v>505000</v>
      </c>
      <c r="M383" s="230">
        <f t="shared" si="56"/>
        <v>1.0673267326732674</v>
      </c>
    </row>
    <row r="384" spans="1:14" s="71" customFormat="1" ht="12.75" customHeight="1" outlineLevel="1" x14ac:dyDescent="0.2">
      <c r="A384" s="172"/>
      <c r="B384" s="172"/>
      <c r="C384" s="172"/>
      <c r="D384" s="219" t="s">
        <v>152</v>
      </c>
      <c r="E384" s="180">
        <v>48167</v>
      </c>
      <c r="F384" s="203">
        <v>8.8749999999999996E-2</v>
      </c>
      <c r="G384" s="203">
        <v>9.3437500000000007E-2</v>
      </c>
      <c r="H384" s="203">
        <v>9.7187499999999996E-2</v>
      </c>
      <c r="I384" s="197">
        <v>9.4599100000000005E-2</v>
      </c>
      <c r="J384" s="197"/>
      <c r="K384" s="183">
        <v>974500</v>
      </c>
      <c r="L384" s="229">
        <v>605000</v>
      </c>
      <c r="M384" s="230">
        <f t="shared" si="56"/>
        <v>1.6107438016528925</v>
      </c>
    </row>
    <row r="385" spans="1:15" s="71" customFormat="1" ht="12.75" customHeight="1" outlineLevel="1" x14ac:dyDescent="0.2">
      <c r="A385" s="252" t="s">
        <v>121</v>
      </c>
      <c r="B385" s="253"/>
      <c r="C385" s="253"/>
      <c r="D385" s="253"/>
      <c r="E385" s="253"/>
      <c r="F385" s="253"/>
      <c r="G385" s="253"/>
      <c r="H385" s="253"/>
      <c r="I385" s="253"/>
      <c r="J385" s="254"/>
      <c r="K385" s="206">
        <f>SUM(K379:K384)</f>
        <v>13894000</v>
      </c>
      <c r="L385" s="206">
        <f>SUM(L379:L384)</f>
        <v>5225000</v>
      </c>
      <c r="M385" s="185"/>
    </row>
    <row r="386" spans="1:15" s="71" customFormat="1" ht="12.75" customHeight="1" outlineLevel="1" x14ac:dyDescent="0.2">
      <c r="A386" s="196">
        <v>43389</v>
      </c>
      <c r="B386" s="180">
        <v>43395</v>
      </c>
      <c r="C386" s="228" t="s">
        <v>160</v>
      </c>
      <c r="D386" s="175" t="s">
        <v>244</v>
      </c>
      <c r="E386" s="180">
        <v>46675</v>
      </c>
      <c r="F386" s="203">
        <v>0.09</v>
      </c>
      <c r="G386" s="203"/>
      <c r="H386" s="203"/>
      <c r="I386" s="197"/>
      <c r="J386" s="197"/>
      <c r="K386" s="221">
        <v>1000000</v>
      </c>
      <c r="L386" s="221">
        <v>1000000</v>
      </c>
      <c r="M386" s="204">
        <f>IF(L386=0,0,K386/L386)</f>
        <v>1</v>
      </c>
    </row>
    <row r="387" spans="1:15" s="71" customFormat="1" ht="12.75" customHeight="1" outlineLevel="1" x14ac:dyDescent="0.2">
      <c r="A387" s="252" t="s">
        <v>121</v>
      </c>
      <c r="B387" s="253"/>
      <c r="C387" s="253"/>
      <c r="D387" s="253"/>
      <c r="E387" s="253"/>
      <c r="F387" s="253"/>
      <c r="G387" s="253"/>
      <c r="H387" s="253"/>
      <c r="I387" s="253"/>
      <c r="J387" s="254"/>
      <c r="K387" s="206">
        <f>SUM(K386:K386)</f>
        <v>1000000</v>
      </c>
      <c r="L387" s="206">
        <f>SUM(L386:L386)</f>
        <v>1000000</v>
      </c>
      <c r="M387" s="185"/>
    </row>
    <row r="388" spans="1:15" s="71" customFormat="1" ht="12.75" customHeight="1" outlineLevel="1" x14ac:dyDescent="0.2">
      <c r="A388" s="196">
        <v>43396</v>
      </c>
      <c r="B388" s="180">
        <v>43398</v>
      </c>
      <c r="C388" s="190" t="s">
        <v>124</v>
      </c>
      <c r="D388" s="219" t="s">
        <v>245</v>
      </c>
      <c r="E388" s="180">
        <v>43489</v>
      </c>
      <c r="F388" s="203" t="s">
        <v>134</v>
      </c>
      <c r="G388" s="203">
        <v>5.79E-2</v>
      </c>
      <c r="H388" s="203">
        <v>0.06</v>
      </c>
      <c r="I388" s="197">
        <v>5.8123099999999997E-2</v>
      </c>
      <c r="J388" s="220">
        <v>5.8599999999999999E-2</v>
      </c>
      <c r="K388" s="221">
        <v>3600000</v>
      </c>
      <c r="L388" s="222">
        <v>2600000</v>
      </c>
      <c r="M388" s="223">
        <f>IF(L388=0,0,K388/L388)</f>
        <v>1.3846153846153846</v>
      </c>
    </row>
    <row r="389" spans="1:15" s="71" customFormat="1" ht="12.75" customHeight="1" outlineLevel="1" x14ac:dyDescent="0.2">
      <c r="A389" s="196"/>
      <c r="B389" s="180"/>
      <c r="C389" s="190"/>
      <c r="D389" s="219" t="s">
        <v>211</v>
      </c>
      <c r="E389" s="180">
        <v>43650</v>
      </c>
      <c r="F389" s="203" t="s">
        <v>134</v>
      </c>
      <c r="G389" s="203">
        <v>0.06</v>
      </c>
      <c r="H389" s="203">
        <v>7.0000000000000007E-2</v>
      </c>
      <c r="I389" s="197">
        <v>6.1460000000000001E-2</v>
      </c>
      <c r="J389" s="197">
        <v>6.2E-2</v>
      </c>
      <c r="K389" s="183">
        <v>10075000</v>
      </c>
      <c r="L389" s="205">
        <v>3000000</v>
      </c>
      <c r="M389" s="204">
        <f t="shared" ref="M389:M394" si="57">IF(L389=0,0,K389/L389)</f>
        <v>3.3583333333333334</v>
      </c>
    </row>
    <row r="390" spans="1:15" s="71" customFormat="1" ht="12.75" customHeight="1" outlineLevel="1" x14ac:dyDescent="0.2">
      <c r="A390" s="172"/>
      <c r="B390" s="172"/>
      <c r="C390" s="172"/>
      <c r="D390" s="219" t="s">
        <v>236</v>
      </c>
      <c r="E390" s="180">
        <v>45427</v>
      </c>
      <c r="F390" s="203">
        <v>8.1250000000000003E-2</v>
      </c>
      <c r="G390" s="203">
        <v>8.5300000000000001E-2</v>
      </c>
      <c r="H390" s="203">
        <v>8.8999999999999996E-2</v>
      </c>
      <c r="I390" s="197">
        <v>8.5947899999999994E-2</v>
      </c>
      <c r="J390" s="197">
        <v>8.6099999999999996E-2</v>
      </c>
      <c r="K390" s="183">
        <v>14172300</v>
      </c>
      <c r="L390" s="205">
        <v>4100000</v>
      </c>
      <c r="M390" s="204">
        <f t="shared" si="57"/>
        <v>3.4566585365853659</v>
      </c>
    </row>
    <row r="391" spans="1:15" s="71" customFormat="1" ht="12.75" customHeight="1" outlineLevel="1" x14ac:dyDescent="0.2">
      <c r="A391" s="172"/>
      <c r="B391" s="172"/>
      <c r="C391" s="172"/>
      <c r="D391" s="219" t="s">
        <v>237</v>
      </c>
      <c r="E391" s="180">
        <v>47253</v>
      </c>
      <c r="F391" s="203">
        <v>8.2500000000000004E-2</v>
      </c>
      <c r="G391" s="203">
        <v>8.6199999999999999E-2</v>
      </c>
      <c r="H391" s="203">
        <v>8.8800000000000004E-2</v>
      </c>
      <c r="I391" s="197">
        <v>8.69114E-2</v>
      </c>
      <c r="J391" s="197">
        <v>8.72E-2</v>
      </c>
      <c r="K391" s="183">
        <v>11386000</v>
      </c>
      <c r="L391" s="229">
        <v>6250000</v>
      </c>
      <c r="M391" s="230">
        <f t="shared" si="57"/>
        <v>1.82176</v>
      </c>
      <c r="N391" s="186"/>
    </row>
    <row r="392" spans="1:15" s="71" customFormat="1" ht="12.75" customHeight="1" outlineLevel="1" x14ac:dyDescent="0.2">
      <c r="A392" s="172"/>
      <c r="B392" s="172"/>
      <c r="C392" s="172"/>
      <c r="D392" s="219" t="s">
        <v>98</v>
      </c>
      <c r="E392" s="180">
        <v>48714</v>
      </c>
      <c r="F392" s="203">
        <v>6.6250000000000003E-2</v>
      </c>
      <c r="G392" s="203">
        <v>8.8999999999999996E-2</v>
      </c>
      <c r="H392" s="203">
        <v>9.5000000000000001E-2</v>
      </c>
      <c r="I392" s="197">
        <v>8.9295399999999997E-2</v>
      </c>
      <c r="J392" s="197">
        <v>8.9499999999999996E-2</v>
      </c>
      <c r="K392" s="183">
        <v>2682000</v>
      </c>
      <c r="L392" s="229">
        <v>900000</v>
      </c>
      <c r="M392" s="230">
        <f t="shared" si="57"/>
        <v>2.98</v>
      </c>
    </row>
    <row r="393" spans="1:15" s="71" customFormat="1" ht="12.75" customHeight="1" outlineLevel="1" x14ac:dyDescent="0.2">
      <c r="A393" s="172"/>
      <c r="B393" s="172"/>
      <c r="C393" s="172"/>
      <c r="D393" s="219" t="s">
        <v>138</v>
      </c>
      <c r="E393" s="180">
        <v>50540</v>
      </c>
      <c r="F393" s="203">
        <v>7.4999999999999997E-2</v>
      </c>
      <c r="G393" s="203">
        <v>9.0200000000000002E-2</v>
      </c>
      <c r="H393" s="203">
        <v>9.5000000000000001E-2</v>
      </c>
      <c r="I393" s="197">
        <v>9.0495400000000004E-2</v>
      </c>
      <c r="J393" s="197">
        <v>9.0999999999999998E-2</v>
      </c>
      <c r="K393" s="183">
        <v>5362200</v>
      </c>
      <c r="L393" s="229">
        <v>3000000</v>
      </c>
      <c r="M393" s="230">
        <f t="shared" si="57"/>
        <v>1.7874000000000001</v>
      </c>
    </row>
    <row r="394" spans="1:15" s="71" customFormat="1" ht="12.75" customHeight="1" outlineLevel="1" x14ac:dyDescent="0.2">
      <c r="A394" s="172"/>
      <c r="B394" s="172"/>
      <c r="C394" s="172"/>
      <c r="D394" s="219" t="s">
        <v>175</v>
      </c>
      <c r="E394" s="180">
        <v>54193</v>
      </c>
      <c r="F394" s="203">
        <v>7.3749999999999996E-2</v>
      </c>
      <c r="G394" s="203">
        <v>9.2600000000000002E-2</v>
      </c>
      <c r="H394" s="203">
        <v>9.4799999999999995E-2</v>
      </c>
      <c r="I394" s="197">
        <v>9.3432000000000001E-2</v>
      </c>
      <c r="J394" s="197">
        <v>9.3600000000000003E-2</v>
      </c>
      <c r="K394" s="183">
        <v>273000</v>
      </c>
      <c r="L394" s="229">
        <v>150000</v>
      </c>
      <c r="M394" s="230">
        <f t="shared" si="57"/>
        <v>1.82</v>
      </c>
    </row>
    <row r="395" spans="1:15" s="71" customFormat="1" ht="12.75" customHeight="1" outlineLevel="1" x14ac:dyDescent="0.2">
      <c r="A395" s="252" t="s">
        <v>121</v>
      </c>
      <c r="B395" s="253"/>
      <c r="C395" s="253"/>
      <c r="D395" s="253"/>
      <c r="E395" s="253"/>
      <c r="F395" s="253"/>
      <c r="G395" s="253"/>
      <c r="H395" s="253"/>
      <c r="I395" s="253"/>
      <c r="J395" s="254"/>
      <c r="K395" s="206">
        <f>SUM(K388:K394)</f>
        <v>47550500</v>
      </c>
      <c r="L395" s="206">
        <f>SUM(L388:L394)</f>
        <v>20000000</v>
      </c>
      <c r="M395" s="185"/>
    </row>
    <row r="396" spans="1:15" s="71" customFormat="1" ht="12.75" customHeight="1" outlineLevel="1" x14ac:dyDescent="0.2">
      <c r="A396" s="196">
        <v>43375</v>
      </c>
      <c r="B396" s="180">
        <v>43404</v>
      </c>
      <c r="C396" s="228" t="s">
        <v>123</v>
      </c>
      <c r="D396" s="175" t="s">
        <v>246</v>
      </c>
      <c r="E396" s="180">
        <v>44484</v>
      </c>
      <c r="F396" s="203">
        <v>8.2500000000000004E-2</v>
      </c>
      <c r="G396" s="203"/>
      <c r="H396" s="203"/>
      <c r="I396" s="197"/>
      <c r="J396" s="197"/>
      <c r="K396" s="221">
        <v>23378269</v>
      </c>
      <c r="L396" s="221">
        <v>23378269</v>
      </c>
      <c r="M396" s="204">
        <f>IF(L396=0,0,K396/L396)</f>
        <v>1</v>
      </c>
    </row>
    <row r="397" spans="1:15" s="71" customFormat="1" ht="12.75" customHeight="1" outlineLevel="1" x14ac:dyDescent="0.2">
      <c r="A397" s="252" t="s">
        <v>121</v>
      </c>
      <c r="B397" s="253"/>
      <c r="C397" s="253"/>
      <c r="D397" s="253"/>
      <c r="E397" s="253"/>
      <c r="F397" s="253"/>
      <c r="G397" s="253"/>
      <c r="H397" s="253"/>
      <c r="I397" s="253"/>
      <c r="J397" s="254"/>
      <c r="K397" s="206">
        <f>SUM(K396:K396)</f>
        <v>23378269</v>
      </c>
      <c r="L397" s="206">
        <f>SUM(L396:L396)</f>
        <v>23378269</v>
      </c>
      <c r="M397" s="185"/>
    </row>
    <row r="398" spans="1:15" s="198" customFormat="1" ht="12.75" customHeight="1" x14ac:dyDescent="0.2">
      <c r="A398" s="255" t="s">
        <v>241</v>
      </c>
      <c r="B398" s="256"/>
      <c r="C398" s="256"/>
      <c r="D398" s="256"/>
      <c r="E398" s="256"/>
      <c r="F398" s="256"/>
      <c r="G398" s="256"/>
      <c r="H398" s="256"/>
      <c r="I398" s="256"/>
      <c r="J398" s="257"/>
      <c r="K398" s="202">
        <f>K367+K369+K376+K378+K385+K387+K395+K397</f>
        <v>140817469</v>
      </c>
      <c r="L398" s="202">
        <f>L367+L369+L376+L378+L385+L387+L395+L397</f>
        <v>77958269</v>
      </c>
      <c r="M398" s="201"/>
      <c r="O398" s="199"/>
    </row>
    <row r="399" spans="1:15" s="198" customFormat="1" ht="12.75" customHeight="1" x14ac:dyDescent="0.2">
      <c r="A399" s="255" t="s">
        <v>251</v>
      </c>
      <c r="B399" s="256"/>
      <c r="C399" s="256"/>
      <c r="D399" s="256"/>
      <c r="E399" s="256"/>
      <c r="F399" s="256"/>
      <c r="G399" s="256"/>
      <c r="H399" s="256"/>
      <c r="I399" s="256"/>
      <c r="J399" s="257"/>
      <c r="K399" s="202">
        <f>SUM(K360,K398)</f>
        <v>1343151526</v>
      </c>
      <c r="L399" s="202">
        <f>SUM(L360,L398)</f>
        <v>714706140</v>
      </c>
      <c r="M399" s="201"/>
      <c r="N399" s="39"/>
    </row>
    <row r="400" spans="1:15" s="71" customFormat="1" ht="12.75" customHeight="1" outlineLevel="1" x14ac:dyDescent="0.2">
      <c r="A400" s="196">
        <v>43403</v>
      </c>
      <c r="B400" s="180">
        <v>43405</v>
      </c>
      <c r="C400" s="190" t="s">
        <v>124</v>
      </c>
      <c r="D400" s="219" t="s">
        <v>249</v>
      </c>
      <c r="E400" s="180">
        <v>43586</v>
      </c>
      <c r="F400" s="203" t="s">
        <v>134</v>
      </c>
      <c r="G400" s="203">
        <v>6.6562499999999997E-2</v>
      </c>
      <c r="H400" s="203">
        <v>7.7499999999999999E-2</v>
      </c>
      <c r="I400" s="197">
        <v>6.7467100000000002E-2</v>
      </c>
      <c r="J400" s="220"/>
      <c r="K400" s="221">
        <v>3816000</v>
      </c>
      <c r="L400" s="222">
        <v>950000</v>
      </c>
      <c r="M400" s="223">
        <f>IF(L400=0,0,K400/L400)</f>
        <v>4.0168421052631578</v>
      </c>
    </row>
    <row r="401" spans="1:14" s="71" customFormat="1" ht="12.75" customHeight="1" outlineLevel="1" x14ac:dyDescent="0.2">
      <c r="A401" s="196"/>
      <c r="B401" s="180"/>
      <c r="C401" s="190"/>
      <c r="D401" s="219" t="s">
        <v>250</v>
      </c>
      <c r="E401" s="180">
        <v>43678</v>
      </c>
      <c r="F401" s="203" t="s">
        <v>134</v>
      </c>
      <c r="G401" s="203">
        <v>6.8750000000000006E-2</v>
      </c>
      <c r="H401" s="203">
        <v>7.2499999999999995E-2</v>
      </c>
      <c r="I401" s="197">
        <v>7.0308800000000005E-2</v>
      </c>
      <c r="J401" s="197"/>
      <c r="K401" s="183">
        <v>3115000</v>
      </c>
      <c r="L401" s="205">
        <v>1700000</v>
      </c>
      <c r="M401" s="204">
        <f t="shared" ref="M401:M405" si="58">IF(L401=0,0,K401/L401)</f>
        <v>1.8323529411764705</v>
      </c>
    </row>
    <row r="402" spans="1:14" s="71" customFormat="1" ht="12.75" customHeight="1" outlineLevel="1" x14ac:dyDescent="0.2">
      <c r="A402" s="172"/>
      <c r="B402" s="172"/>
      <c r="C402" s="172"/>
      <c r="D402" s="219" t="s">
        <v>161</v>
      </c>
      <c r="E402" s="180">
        <v>44331</v>
      </c>
      <c r="F402" s="203">
        <v>6.5000000000000002E-2</v>
      </c>
      <c r="G402" s="203">
        <v>8.1562499999999996E-2</v>
      </c>
      <c r="H402" s="203">
        <v>8.7499999999999994E-2</v>
      </c>
      <c r="I402" s="197">
        <v>8.2848500000000005E-2</v>
      </c>
      <c r="J402" s="197"/>
      <c r="K402" s="183">
        <v>2456000</v>
      </c>
      <c r="L402" s="205">
        <v>2160000</v>
      </c>
      <c r="M402" s="204">
        <f t="shared" si="58"/>
        <v>1.1370370370370371</v>
      </c>
    </row>
    <row r="403" spans="1:14" s="71" customFormat="1" ht="12.75" customHeight="1" outlineLevel="1" x14ac:dyDescent="0.2">
      <c r="A403" s="172"/>
      <c r="B403" s="172"/>
      <c r="C403" s="172"/>
      <c r="D403" s="219" t="s">
        <v>240</v>
      </c>
      <c r="E403" s="180">
        <v>45184</v>
      </c>
      <c r="F403" s="203">
        <v>8.2500000000000004E-2</v>
      </c>
      <c r="G403" s="203">
        <v>8.7499999999999994E-2</v>
      </c>
      <c r="H403" s="203">
        <v>8.9687500000000003E-2</v>
      </c>
      <c r="I403" s="197">
        <v>8.8288699999999998E-2</v>
      </c>
      <c r="J403" s="197"/>
      <c r="K403" s="183">
        <v>1038000</v>
      </c>
      <c r="L403" s="229">
        <v>510000</v>
      </c>
      <c r="M403" s="230">
        <f t="shared" si="58"/>
        <v>2.0352941176470587</v>
      </c>
      <c r="N403" s="186"/>
    </row>
    <row r="404" spans="1:14" s="71" customFormat="1" ht="12.75" customHeight="1" outlineLevel="1" x14ac:dyDescent="0.2">
      <c r="A404" s="172"/>
      <c r="B404" s="172"/>
      <c r="C404" s="172"/>
      <c r="D404" s="219" t="s">
        <v>151</v>
      </c>
      <c r="E404" s="180">
        <v>45945</v>
      </c>
      <c r="F404" s="203">
        <v>6.1249999999999999E-2</v>
      </c>
      <c r="G404" s="203">
        <v>0.09</v>
      </c>
      <c r="H404" s="203">
        <v>9.3124999999999999E-2</v>
      </c>
      <c r="I404" s="197">
        <v>0.09</v>
      </c>
      <c r="J404" s="197"/>
      <c r="K404" s="183">
        <v>145000</v>
      </c>
      <c r="L404" s="229">
        <v>35000</v>
      </c>
      <c r="M404" s="230">
        <f t="shared" si="58"/>
        <v>4.1428571428571432</v>
      </c>
    </row>
    <row r="405" spans="1:14" s="71" customFormat="1" ht="12.75" customHeight="1" outlineLevel="1" x14ac:dyDescent="0.2">
      <c r="A405" s="172"/>
      <c r="B405" s="172"/>
      <c r="C405" s="172"/>
      <c r="D405" s="219" t="s">
        <v>152</v>
      </c>
      <c r="E405" s="180">
        <v>48167</v>
      </c>
      <c r="F405" s="203">
        <v>8.8749999999999996E-2</v>
      </c>
      <c r="G405" s="203">
        <v>9.3124999999999999E-2</v>
      </c>
      <c r="H405" s="203">
        <v>9.5937499999999995E-2</v>
      </c>
      <c r="I405" s="197">
        <v>9.3789300000000006E-2</v>
      </c>
      <c r="J405" s="197"/>
      <c r="K405" s="183">
        <v>730800</v>
      </c>
      <c r="L405" s="229">
        <v>270000</v>
      </c>
      <c r="M405" s="230">
        <f t="shared" si="58"/>
        <v>2.7066666666666666</v>
      </c>
    </row>
    <row r="406" spans="1:14" s="71" customFormat="1" ht="12.75" customHeight="1" outlineLevel="1" x14ac:dyDescent="0.2">
      <c r="A406" s="252" t="s">
        <v>121</v>
      </c>
      <c r="B406" s="253"/>
      <c r="C406" s="253"/>
      <c r="D406" s="253"/>
      <c r="E406" s="253"/>
      <c r="F406" s="253"/>
      <c r="G406" s="253"/>
      <c r="H406" s="253"/>
      <c r="I406" s="253"/>
      <c r="J406" s="254"/>
      <c r="K406" s="206">
        <f>SUM(K400:K405)</f>
        <v>11300800</v>
      </c>
      <c r="L406" s="206">
        <f>SUM(L400:L405)</f>
        <v>5625000</v>
      </c>
      <c r="M406" s="185"/>
    </row>
    <row r="407" spans="1:14" s="71" customFormat="1" ht="12.75" customHeight="1" outlineLevel="1" x14ac:dyDescent="0.2">
      <c r="A407" s="196">
        <v>43402</v>
      </c>
      <c r="B407" s="180">
        <v>43409</v>
      </c>
      <c r="C407" s="228" t="s">
        <v>160</v>
      </c>
      <c r="D407" s="175" t="s">
        <v>244</v>
      </c>
      <c r="E407" s="180">
        <v>46675</v>
      </c>
      <c r="F407" s="203">
        <v>0.09</v>
      </c>
      <c r="G407" s="203"/>
      <c r="H407" s="203"/>
      <c r="I407" s="197"/>
      <c r="J407" s="197"/>
      <c r="K407" s="221">
        <v>1000000</v>
      </c>
      <c r="L407" s="221">
        <v>1000000</v>
      </c>
      <c r="M407" s="204">
        <f>IF(L407=0,0,K407/L407)</f>
        <v>1</v>
      </c>
    </row>
    <row r="408" spans="1:14" s="71" customFormat="1" ht="12.75" customHeight="1" outlineLevel="1" x14ac:dyDescent="0.2">
      <c r="A408" s="252" t="s">
        <v>121</v>
      </c>
      <c r="B408" s="253"/>
      <c r="C408" s="253"/>
      <c r="D408" s="253"/>
      <c r="E408" s="253"/>
      <c r="F408" s="253"/>
      <c r="G408" s="253"/>
      <c r="H408" s="253"/>
      <c r="I408" s="253"/>
      <c r="J408" s="254"/>
      <c r="K408" s="206">
        <f>SUM(K407:K407)</f>
        <v>1000000</v>
      </c>
      <c r="L408" s="206">
        <f>SUM(L407:L407)</f>
        <v>1000000</v>
      </c>
      <c r="M408" s="185"/>
    </row>
    <row r="409" spans="1:14" s="71" customFormat="1" ht="12.75" customHeight="1" outlineLevel="1" x14ac:dyDescent="0.2">
      <c r="A409" s="180">
        <v>43406</v>
      </c>
      <c r="B409" s="180">
        <v>43410</v>
      </c>
      <c r="C409" s="228" t="s">
        <v>160</v>
      </c>
      <c r="D409" s="244" t="s">
        <v>35</v>
      </c>
      <c r="E409" s="180">
        <v>44696</v>
      </c>
      <c r="F409" s="203">
        <v>7.0000000000000007E-2</v>
      </c>
      <c r="G409" s="203"/>
      <c r="H409" s="203"/>
      <c r="I409" s="197"/>
      <c r="J409" s="197"/>
      <c r="K409" s="221">
        <v>3000000</v>
      </c>
      <c r="L409" s="221">
        <v>3000000</v>
      </c>
      <c r="M409" s="204">
        <f>IF(L409=0,0,K409/L409)</f>
        <v>1</v>
      </c>
    </row>
    <row r="410" spans="1:14" s="71" customFormat="1" ht="12.75" customHeight="1" outlineLevel="1" x14ac:dyDescent="0.2">
      <c r="A410" s="252" t="s">
        <v>121</v>
      </c>
      <c r="B410" s="253"/>
      <c r="C410" s="253"/>
      <c r="D410" s="253"/>
      <c r="E410" s="253"/>
      <c r="F410" s="253"/>
      <c r="G410" s="253"/>
      <c r="H410" s="253"/>
      <c r="I410" s="253"/>
      <c r="J410" s="254"/>
      <c r="K410" s="206">
        <f>SUM(K409:K409)</f>
        <v>3000000</v>
      </c>
      <c r="L410" s="206">
        <f>SUM(L409:L409)</f>
        <v>3000000</v>
      </c>
      <c r="M410" s="185"/>
    </row>
    <row r="411" spans="1:14" s="71" customFormat="1" ht="12.75" customHeight="1" outlineLevel="1" x14ac:dyDescent="0.2">
      <c r="A411" s="196">
        <v>43406</v>
      </c>
      <c r="B411" s="180">
        <v>43410</v>
      </c>
      <c r="C411" s="228" t="s">
        <v>160</v>
      </c>
      <c r="D411" s="175" t="s">
        <v>49</v>
      </c>
      <c r="E411" s="180">
        <v>44576</v>
      </c>
      <c r="F411" s="203">
        <v>5.45E-2</v>
      </c>
      <c r="G411" s="203"/>
      <c r="H411" s="203"/>
      <c r="I411" s="197"/>
      <c r="J411" s="197"/>
      <c r="K411" s="221">
        <v>1000000</v>
      </c>
      <c r="L411" s="221">
        <v>1000000</v>
      </c>
      <c r="M411" s="204">
        <f>IF(L411=0,0,K411/L411)</f>
        <v>1</v>
      </c>
    </row>
    <row r="412" spans="1:14" s="71" customFormat="1" ht="12.75" customHeight="1" outlineLevel="1" x14ac:dyDescent="0.2">
      <c r="A412" s="196"/>
      <c r="B412" s="180"/>
      <c r="C412" s="228"/>
      <c r="D412" s="175" t="s">
        <v>240</v>
      </c>
      <c r="E412" s="180">
        <v>45184</v>
      </c>
      <c r="F412" s="203">
        <v>8.2500000000000004E-2</v>
      </c>
      <c r="G412" s="203"/>
      <c r="H412" s="203"/>
      <c r="I412" s="197"/>
      <c r="J412" s="197"/>
      <c r="K412" s="216">
        <v>2000000</v>
      </c>
      <c r="L412" s="216">
        <v>2000000</v>
      </c>
      <c r="M412" s="204">
        <f>IF(L412=0,0,K412/L412)</f>
        <v>1</v>
      </c>
    </row>
    <row r="413" spans="1:14" s="71" customFormat="1" ht="12.75" customHeight="1" outlineLevel="1" x14ac:dyDescent="0.2">
      <c r="A413" s="252" t="s">
        <v>121</v>
      </c>
      <c r="B413" s="253"/>
      <c r="C413" s="253"/>
      <c r="D413" s="253"/>
      <c r="E413" s="253"/>
      <c r="F413" s="253"/>
      <c r="G413" s="253"/>
      <c r="H413" s="253"/>
      <c r="I413" s="253"/>
      <c r="J413" s="254"/>
      <c r="K413" s="206">
        <f>SUM(K411:K412)</f>
        <v>3000000</v>
      </c>
      <c r="L413" s="206">
        <f>SUM(L411:L412)</f>
        <v>3000000</v>
      </c>
      <c r="M413" s="185"/>
    </row>
    <row r="414" spans="1:14" s="71" customFormat="1" ht="12.75" customHeight="1" outlineLevel="1" x14ac:dyDescent="0.2">
      <c r="A414" s="196">
        <v>43410</v>
      </c>
      <c r="B414" s="196">
        <v>43412</v>
      </c>
      <c r="C414" s="190" t="s">
        <v>124</v>
      </c>
      <c r="D414" s="219" t="s">
        <v>253</v>
      </c>
      <c r="E414" s="180">
        <v>43503</v>
      </c>
      <c r="F414" s="203" t="s">
        <v>134</v>
      </c>
      <c r="G414" s="203">
        <v>5.7599999999999998E-2</v>
      </c>
      <c r="H414" s="203">
        <v>5.8900000000000001E-2</v>
      </c>
      <c r="I414" s="197">
        <v>5.7599999999999998E-2</v>
      </c>
      <c r="J414" s="220">
        <v>5.7599999999999998E-2</v>
      </c>
      <c r="K414" s="221">
        <v>3800000</v>
      </c>
      <c r="L414" s="222">
        <v>1000000</v>
      </c>
      <c r="M414" s="223">
        <f>IF(L414=0,0,K414/L414)</f>
        <v>3.8</v>
      </c>
    </row>
    <row r="415" spans="1:14" s="71" customFormat="1" ht="12.75" customHeight="1" outlineLevel="1" x14ac:dyDescent="0.2">
      <c r="A415" s="196"/>
      <c r="B415" s="180"/>
      <c r="C415" s="190"/>
      <c r="D415" s="219" t="s">
        <v>254</v>
      </c>
      <c r="E415" s="180">
        <v>43776</v>
      </c>
      <c r="F415" s="203" t="s">
        <v>134</v>
      </c>
      <c r="G415" s="203">
        <v>0.06</v>
      </c>
      <c r="H415" s="203">
        <v>7.0999999999999994E-2</v>
      </c>
      <c r="I415" s="203">
        <v>0.06</v>
      </c>
      <c r="J415" s="203">
        <v>0.06</v>
      </c>
      <c r="K415" s="183">
        <v>9960000</v>
      </c>
      <c r="L415" s="205">
        <v>1000000</v>
      </c>
      <c r="M415" s="204">
        <f t="shared" ref="M415:M419" si="59">IF(L415=0,0,K415/L415)</f>
        <v>9.9600000000000009</v>
      </c>
    </row>
    <row r="416" spans="1:14" s="71" customFormat="1" ht="12.75" customHeight="1" outlineLevel="1" x14ac:dyDescent="0.2">
      <c r="A416" s="172"/>
      <c r="B416" s="172"/>
      <c r="C416" s="172"/>
      <c r="D416" s="219" t="s">
        <v>236</v>
      </c>
      <c r="E416" s="180">
        <v>45427</v>
      </c>
      <c r="F416" s="203">
        <v>8.1250000000000003E-2</v>
      </c>
      <c r="G416" s="203">
        <v>8.1199999999999994E-2</v>
      </c>
      <c r="H416" s="203">
        <v>8.4699999999999998E-2</v>
      </c>
      <c r="I416" s="197">
        <v>8.1473000000000004E-2</v>
      </c>
      <c r="J416" s="197">
        <v>8.1799999999999998E-2</v>
      </c>
      <c r="K416" s="183">
        <v>15078700</v>
      </c>
      <c r="L416" s="205">
        <v>4950000</v>
      </c>
      <c r="M416" s="204">
        <f t="shared" si="59"/>
        <v>3.0462020202020201</v>
      </c>
    </row>
    <row r="417" spans="1:14" s="71" customFormat="1" ht="12.75" customHeight="1" outlineLevel="1" x14ac:dyDescent="0.2">
      <c r="A417" s="172"/>
      <c r="B417" s="172"/>
      <c r="C417" s="172"/>
      <c r="D417" s="219" t="s">
        <v>237</v>
      </c>
      <c r="E417" s="180">
        <v>47253</v>
      </c>
      <c r="F417" s="203">
        <v>8.2500000000000004E-2</v>
      </c>
      <c r="G417" s="203">
        <v>8.2299999999999998E-2</v>
      </c>
      <c r="H417" s="203">
        <v>8.5000000000000006E-2</v>
      </c>
      <c r="I417" s="197">
        <v>8.24936E-2</v>
      </c>
      <c r="J417" s="197">
        <v>8.2600000000000007E-2</v>
      </c>
      <c r="K417" s="183">
        <v>16637000</v>
      </c>
      <c r="L417" s="229">
        <v>5950000</v>
      </c>
      <c r="M417" s="230">
        <f t="shared" si="59"/>
        <v>2.7961344537815127</v>
      </c>
      <c r="N417" s="186"/>
    </row>
    <row r="418" spans="1:14" s="71" customFormat="1" ht="12.75" customHeight="1" outlineLevel="1" x14ac:dyDescent="0.2">
      <c r="A418" s="172"/>
      <c r="B418" s="172"/>
      <c r="C418" s="172"/>
      <c r="D418" s="219" t="s">
        <v>98</v>
      </c>
      <c r="E418" s="180">
        <v>48714</v>
      </c>
      <c r="F418" s="203">
        <v>6.6250000000000003E-2</v>
      </c>
      <c r="G418" s="203">
        <v>8.4699999999999998E-2</v>
      </c>
      <c r="H418" s="203">
        <v>9.2499999999999999E-2</v>
      </c>
      <c r="I418" s="197">
        <v>8.4903500000000007E-2</v>
      </c>
      <c r="J418" s="197">
        <v>8.5400000000000004E-2</v>
      </c>
      <c r="K418" s="183">
        <v>8671500</v>
      </c>
      <c r="L418" s="229">
        <v>5350000</v>
      </c>
      <c r="M418" s="230">
        <f t="shared" si="59"/>
        <v>1.6208411214953271</v>
      </c>
    </row>
    <row r="419" spans="1:14" s="71" customFormat="1" ht="12.75" customHeight="1" outlineLevel="1" x14ac:dyDescent="0.2">
      <c r="A419" s="172"/>
      <c r="B419" s="172"/>
      <c r="C419" s="172"/>
      <c r="D419" s="219" t="s">
        <v>138</v>
      </c>
      <c r="E419" s="180">
        <v>50540</v>
      </c>
      <c r="F419" s="203">
        <v>7.4999999999999997E-2</v>
      </c>
      <c r="G419" s="203">
        <v>8.6999999999999994E-2</v>
      </c>
      <c r="H419" s="203">
        <v>9.5000000000000001E-2</v>
      </c>
      <c r="I419" s="197">
        <v>8.7399900000000003E-2</v>
      </c>
      <c r="J419" s="197">
        <v>8.77E-2</v>
      </c>
      <c r="K419" s="183">
        <v>5337100</v>
      </c>
      <c r="L419" s="229">
        <v>1750000</v>
      </c>
      <c r="M419" s="230">
        <f t="shared" si="59"/>
        <v>3.0497714285714284</v>
      </c>
    </row>
    <row r="420" spans="1:14" s="71" customFormat="1" ht="12.75" customHeight="1" outlineLevel="1" x14ac:dyDescent="0.2">
      <c r="A420" s="252" t="s">
        <v>121</v>
      </c>
      <c r="B420" s="253"/>
      <c r="C420" s="253"/>
      <c r="D420" s="253"/>
      <c r="E420" s="253"/>
      <c r="F420" s="253"/>
      <c r="G420" s="253"/>
      <c r="H420" s="253"/>
      <c r="I420" s="253"/>
      <c r="J420" s="254"/>
      <c r="K420" s="206">
        <f>SUM(K414:K419)</f>
        <v>59484300</v>
      </c>
      <c r="L420" s="206">
        <f>SUM(L414:L419)</f>
        <v>20000000</v>
      </c>
      <c r="M420" s="185"/>
    </row>
    <row r="421" spans="1:14" s="71" customFormat="1" ht="12.75" customHeight="1" outlineLevel="1" x14ac:dyDescent="0.2">
      <c r="A421" s="196">
        <v>43417</v>
      </c>
      <c r="B421" s="180">
        <v>43419</v>
      </c>
      <c r="C421" s="190" t="s">
        <v>124</v>
      </c>
      <c r="D421" s="219" t="s">
        <v>249</v>
      </c>
      <c r="E421" s="180">
        <v>43586</v>
      </c>
      <c r="F421" s="203" t="s">
        <v>134</v>
      </c>
      <c r="G421" s="203">
        <v>6.5625000000000003E-2</v>
      </c>
      <c r="H421" s="203">
        <v>7.4999999999999997E-2</v>
      </c>
      <c r="I421" s="197">
        <v>6.5892900000000004E-2</v>
      </c>
      <c r="J421" s="220"/>
      <c r="K421" s="221">
        <v>4421000</v>
      </c>
      <c r="L421" s="222">
        <v>1050000</v>
      </c>
      <c r="M421" s="223">
        <f>IF(L421=0,0,K421/L421)</f>
        <v>4.2104761904761903</v>
      </c>
    </row>
    <row r="422" spans="1:14" s="71" customFormat="1" ht="12.75" customHeight="1" outlineLevel="1" x14ac:dyDescent="0.2">
      <c r="A422" s="196"/>
      <c r="B422" s="180"/>
      <c r="C422" s="190"/>
      <c r="D422" s="219" t="s">
        <v>250</v>
      </c>
      <c r="E422" s="180">
        <v>43678</v>
      </c>
      <c r="F422" s="203" t="s">
        <v>134</v>
      </c>
      <c r="G422" s="203">
        <v>6.8125000000000005E-2</v>
      </c>
      <c r="H422" s="203">
        <v>7.1874999999999994E-2</v>
      </c>
      <c r="I422" s="197">
        <v>6.8593799999999996E-2</v>
      </c>
      <c r="J422" s="197"/>
      <c r="K422" s="183">
        <v>3715000</v>
      </c>
      <c r="L422" s="205">
        <v>1600000</v>
      </c>
      <c r="M422" s="204">
        <f t="shared" ref="M422:M424" si="60">IF(L422=0,0,K422/L422)</f>
        <v>2.3218749999999999</v>
      </c>
    </row>
    <row r="423" spans="1:14" s="71" customFormat="1" ht="12.75" customHeight="1" outlineLevel="1" x14ac:dyDescent="0.2">
      <c r="A423" s="172"/>
      <c r="B423" s="172"/>
      <c r="C423" s="172"/>
      <c r="D423" s="219" t="s">
        <v>161</v>
      </c>
      <c r="E423" s="180">
        <v>44331</v>
      </c>
      <c r="F423" s="203">
        <v>6.5000000000000002E-2</v>
      </c>
      <c r="G423" s="203">
        <v>7.9375000000000001E-2</v>
      </c>
      <c r="H423" s="203">
        <v>8.59375E-2</v>
      </c>
      <c r="I423" s="197">
        <v>8.0152699999999993E-2</v>
      </c>
      <c r="J423" s="197"/>
      <c r="K423" s="183">
        <v>1232000</v>
      </c>
      <c r="L423" s="205">
        <v>230000</v>
      </c>
      <c r="M423" s="204">
        <f t="shared" si="60"/>
        <v>5.3565217391304349</v>
      </c>
    </row>
    <row r="424" spans="1:14" s="71" customFormat="1" ht="12.75" customHeight="1" outlineLevel="1" x14ac:dyDescent="0.2">
      <c r="A424" s="172"/>
      <c r="B424" s="172"/>
      <c r="C424" s="172"/>
      <c r="D424" s="219" t="s">
        <v>240</v>
      </c>
      <c r="E424" s="180">
        <v>45184</v>
      </c>
      <c r="F424" s="203">
        <v>8.2500000000000004E-2</v>
      </c>
      <c r="G424" s="203">
        <v>8.3125000000000004E-2</v>
      </c>
      <c r="H424" s="203">
        <v>0.09</v>
      </c>
      <c r="I424" s="197">
        <v>8.3660499999999999E-2</v>
      </c>
      <c r="J424" s="197"/>
      <c r="K424" s="183">
        <v>824500</v>
      </c>
      <c r="L424" s="229">
        <v>610000</v>
      </c>
      <c r="M424" s="230">
        <f t="shared" si="60"/>
        <v>1.3516393442622952</v>
      </c>
      <c r="N424" s="186"/>
    </row>
    <row r="425" spans="1:14" s="71" customFormat="1" ht="12.75" customHeight="1" outlineLevel="1" x14ac:dyDescent="0.2">
      <c r="A425" s="172"/>
      <c r="B425" s="172"/>
      <c r="C425" s="172"/>
      <c r="D425" s="219" t="s">
        <v>152</v>
      </c>
      <c r="E425" s="180">
        <v>48167</v>
      </c>
      <c r="F425" s="203">
        <v>8.8749999999999996E-2</v>
      </c>
      <c r="G425" s="203">
        <v>8.9687500000000003E-2</v>
      </c>
      <c r="H425" s="203">
        <v>9.4062499999999993E-2</v>
      </c>
      <c r="I425" s="197">
        <v>9.0395100000000006E-2</v>
      </c>
      <c r="J425" s="197"/>
      <c r="K425" s="183">
        <v>208500</v>
      </c>
      <c r="L425" s="229">
        <v>155000</v>
      </c>
      <c r="M425" s="230">
        <f t="shared" ref="M425:M426" si="61">IF(L425=0,0,K425/L425)</f>
        <v>1.3451612903225807</v>
      </c>
    </row>
    <row r="426" spans="1:14" s="71" customFormat="1" ht="12.75" customHeight="1" outlineLevel="1" x14ac:dyDescent="0.2">
      <c r="A426" s="172"/>
      <c r="B426" s="172"/>
      <c r="C426" s="172"/>
      <c r="D426" s="219" t="s">
        <v>165</v>
      </c>
      <c r="E426" s="180">
        <v>53888</v>
      </c>
      <c r="F426" s="203">
        <v>0.08</v>
      </c>
      <c r="G426" s="203">
        <v>9.4687499999999994E-2</v>
      </c>
      <c r="H426" s="203">
        <v>9.7500000000000003E-2</v>
      </c>
      <c r="I426" s="197">
        <v>9.5395400000000005E-2</v>
      </c>
      <c r="J426" s="197"/>
      <c r="K426" s="183">
        <v>624000</v>
      </c>
      <c r="L426" s="229">
        <v>470000</v>
      </c>
      <c r="M426" s="230">
        <f t="shared" si="61"/>
        <v>1.327659574468085</v>
      </c>
    </row>
    <row r="427" spans="1:14" s="71" customFormat="1" ht="12.75" customHeight="1" outlineLevel="1" x14ac:dyDescent="0.2">
      <c r="A427" s="252" t="s">
        <v>121</v>
      </c>
      <c r="B427" s="253"/>
      <c r="C427" s="253"/>
      <c r="D427" s="253"/>
      <c r="E427" s="253"/>
      <c r="F427" s="253"/>
      <c r="G427" s="253"/>
      <c r="H427" s="253"/>
      <c r="I427" s="253"/>
      <c r="J427" s="254"/>
      <c r="K427" s="206">
        <f>SUM(K421:K426)</f>
        <v>11025000</v>
      </c>
      <c r="L427" s="206">
        <f>SUM(L421:L426)</f>
        <v>4115000</v>
      </c>
      <c r="M427" s="185"/>
    </row>
    <row r="428" spans="1:14" s="71" customFormat="1" ht="12.75" customHeight="1" outlineLevel="1" x14ac:dyDescent="0.2">
      <c r="A428" s="196">
        <v>43403</v>
      </c>
      <c r="B428" s="196">
        <v>43419</v>
      </c>
      <c r="C428" s="192" t="s">
        <v>123</v>
      </c>
      <c r="D428" s="175" t="s">
        <v>255</v>
      </c>
      <c r="E428" s="180">
        <v>44515</v>
      </c>
      <c r="F428" s="203">
        <v>4.0500000000000001E-2</v>
      </c>
      <c r="G428" s="203"/>
      <c r="H428" s="197"/>
      <c r="I428" s="203">
        <v>4.0500000000000001E-2</v>
      </c>
      <c r="J428" s="197"/>
      <c r="K428" s="189" t="s">
        <v>256</v>
      </c>
      <c r="L428" s="189" t="s">
        <v>256</v>
      </c>
      <c r="M428" s="229"/>
    </row>
    <row r="429" spans="1:14" s="71" customFormat="1" ht="12.75" customHeight="1" outlineLevel="1" x14ac:dyDescent="0.2">
      <c r="A429" s="196"/>
      <c r="B429" s="196"/>
      <c r="C429" s="192"/>
      <c r="D429" s="175"/>
      <c r="E429" s="180"/>
      <c r="F429" s="203"/>
      <c r="G429" s="203"/>
      <c r="H429" s="197"/>
      <c r="I429" s="203"/>
      <c r="J429" s="197"/>
      <c r="K429" s="200">
        <f>100*14764</f>
        <v>1476400</v>
      </c>
      <c r="L429" s="200">
        <f>100*14764</f>
        <v>1476400</v>
      </c>
      <c r="M429" s="204">
        <f t="shared" ref="M429" si="62">IF(L429=0,0,K429/L429)</f>
        <v>1</v>
      </c>
    </row>
    <row r="430" spans="1:14" s="71" customFormat="1" ht="12.75" customHeight="1" outlineLevel="1" x14ac:dyDescent="0.2">
      <c r="A430" s="252" t="s">
        <v>121</v>
      </c>
      <c r="B430" s="253"/>
      <c r="C430" s="253"/>
      <c r="D430" s="253"/>
      <c r="E430" s="253"/>
      <c r="F430" s="253"/>
      <c r="G430" s="253"/>
      <c r="H430" s="253"/>
      <c r="I430" s="253"/>
      <c r="J430" s="254"/>
      <c r="K430" s="206">
        <f>K429</f>
        <v>1476400</v>
      </c>
      <c r="L430" s="206">
        <f>L429</f>
        <v>1476400</v>
      </c>
      <c r="M430" s="185"/>
    </row>
    <row r="431" spans="1:14" s="71" customFormat="1" ht="12.75" customHeight="1" outlineLevel="1" x14ac:dyDescent="0.2">
      <c r="A431" s="196">
        <v>43417</v>
      </c>
      <c r="B431" s="180">
        <v>43423</v>
      </c>
      <c r="C431" s="228" t="s">
        <v>160</v>
      </c>
      <c r="D431" s="175" t="s">
        <v>244</v>
      </c>
      <c r="E431" s="180">
        <v>46675</v>
      </c>
      <c r="F431" s="203">
        <v>0.09</v>
      </c>
      <c r="G431" s="203"/>
      <c r="H431" s="203"/>
      <c r="I431" s="197"/>
      <c r="J431" s="197"/>
      <c r="K431" s="221">
        <v>250000</v>
      </c>
      <c r="L431" s="221">
        <v>250000</v>
      </c>
      <c r="M431" s="204">
        <f>IF(L431=0,0,K431/L431)</f>
        <v>1</v>
      </c>
    </row>
    <row r="432" spans="1:14" s="71" customFormat="1" ht="12.75" customHeight="1" outlineLevel="1" x14ac:dyDescent="0.2">
      <c r="A432" s="252" t="s">
        <v>121</v>
      </c>
      <c r="B432" s="253"/>
      <c r="C432" s="253"/>
      <c r="D432" s="253"/>
      <c r="E432" s="253"/>
      <c r="F432" s="253"/>
      <c r="G432" s="253"/>
      <c r="H432" s="253"/>
      <c r="I432" s="253"/>
      <c r="J432" s="254"/>
      <c r="K432" s="206">
        <f>SUM(K431:K431)</f>
        <v>250000</v>
      </c>
      <c r="L432" s="206">
        <f>SUM(L431:L431)</f>
        <v>250000</v>
      </c>
      <c r="M432" s="185"/>
    </row>
    <row r="433" spans="1:15" s="71" customFormat="1" ht="12.75" customHeight="1" outlineLevel="1" x14ac:dyDescent="0.2">
      <c r="A433" s="196">
        <v>43425</v>
      </c>
      <c r="B433" s="196">
        <v>43427</v>
      </c>
      <c r="C433" s="190" t="s">
        <v>124</v>
      </c>
      <c r="D433" s="219" t="s">
        <v>259</v>
      </c>
      <c r="E433" s="180">
        <v>43518</v>
      </c>
      <c r="F433" s="203" t="s">
        <v>134</v>
      </c>
      <c r="G433" s="203">
        <v>5.79E-2</v>
      </c>
      <c r="H433" s="203">
        <v>0.06</v>
      </c>
      <c r="I433" s="197">
        <v>5.7959999999999998E-2</v>
      </c>
      <c r="J433" s="220">
        <v>5.8000000000000003E-2</v>
      </c>
      <c r="K433" s="221">
        <v>3900000</v>
      </c>
      <c r="L433" s="222">
        <v>1000000</v>
      </c>
      <c r="M433" s="223">
        <f>IF(L433=0,0,K433/L433)</f>
        <v>3.9</v>
      </c>
    </row>
    <row r="434" spans="1:15" s="71" customFormat="1" ht="12.75" customHeight="1" outlineLevel="1" x14ac:dyDescent="0.2">
      <c r="A434" s="196"/>
      <c r="B434" s="180"/>
      <c r="C434" s="190"/>
      <c r="D434" s="219" t="s">
        <v>216</v>
      </c>
      <c r="E434" s="180">
        <v>43678</v>
      </c>
      <c r="F434" s="203" t="s">
        <v>134</v>
      </c>
      <c r="G434" s="203">
        <v>5.9499999999999997E-2</v>
      </c>
      <c r="H434" s="203">
        <v>7.0000000000000007E-2</v>
      </c>
      <c r="I434" s="203">
        <v>6.0026299999999998E-2</v>
      </c>
      <c r="J434" s="203">
        <v>6.0499999999999998E-2</v>
      </c>
      <c r="K434" s="183">
        <v>5975000</v>
      </c>
      <c r="L434" s="205">
        <v>950000</v>
      </c>
      <c r="M434" s="204">
        <f t="shared" ref="M434:M438" si="63">IF(L434=0,0,K434/L434)</f>
        <v>6.2894736842105265</v>
      </c>
    </row>
    <row r="435" spans="1:15" s="71" customFormat="1" ht="12.75" customHeight="1" outlineLevel="1" x14ac:dyDescent="0.2">
      <c r="A435" s="172"/>
      <c r="B435" s="172"/>
      <c r="C435" s="172"/>
      <c r="D435" s="219" t="s">
        <v>236</v>
      </c>
      <c r="E435" s="180">
        <v>45427</v>
      </c>
      <c r="F435" s="203">
        <v>8.1250000000000003E-2</v>
      </c>
      <c r="G435" s="203">
        <v>7.9200000000000007E-2</v>
      </c>
      <c r="H435" s="203">
        <v>8.1500000000000003E-2</v>
      </c>
      <c r="I435" s="197">
        <v>7.9453899999999994E-2</v>
      </c>
      <c r="J435" s="197">
        <v>7.9600000000000004E-2</v>
      </c>
      <c r="K435" s="183">
        <v>12230700</v>
      </c>
      <c r="L435" s="205">
        <v>5250000</v>
      </c>
      <c r="M435" s="204">
        <f t="shared" si="63"/>
        <v>2.3296571428571426</v>
      </c>
    </row>
    <row r="436" spans="1:15" s="71" customFormat="1" ht="12.75" customHeight="1" outlineLevel="1" x14ac:dyDescent="0.2">
      <c r="A436" s="172"/>
      <c r="B436" s="172"/>
      <c r="C436" s="172"/>
      <c r="D436" s="219" t="s">
        <v>237</v>
      </c>
      <c r="E436" s="180">
        <v>47253</v>
      </c>
      <c r="F436" s="203">
        <v>8.2500000000000004E-2</v>
      </c>
      <c r="G436" s="203">
        <v>7.9799999999999996E-2</v>
      </c>
      <c r="H436" s="203">
        <v>8.1500000000000003E-2</v>
      </c>
      <c r="I436" s="197">
        <v>7.9992900000000006E-2</v>
      </c>
      <c r="J436" s="197">
        <v>8.0199999999999994E-2</v>
      </c>
      <c r="K436" s="183">
        <v>9822500</v>
      </c>
      <c r="L436" s="229">
        <v>4300000</v>
      </c>
      <c r="M436" s="230">
        <f t="shared" si="63"/>
        <v>2.2843023255813955</v>
      </c>
      <c r="N436" s="186"/>
    </row>
    <row r="437" spans="1:15" s="71" customFormat="1" ht="12.75" customHeight="1" outlineLevel="1" x14ac:dyDescent="0.2">
      <c r="A437" s="172"/>
      <c r="B437" s="172"/>
      <c r="C437" s="172"/>
      <c r="D437" s="219" t="s">
        <v>98</v>
      </c>
      <c r="E437" s="180">
        <v>48714</v>
      </c>
      <c r="F437" s="203">
        <v>6.6250000000000003E-2</v>
      </c>
      <c r="G437" s="203">
        <v>8.2900000000000001E-2</v>
      </c>
      <c r="H437" s="203">
        <v>8.7499999999999994E-2</v>
      </c>
      <c r="I437" s="197">
        <v>8.3096900000000001E-2</v>
      </c>
      <c r="J437" s="197">
        <v>8.3400000000000002E-2</v>
      </c>
      <c r="K437" s="183">
        <v>4831500</v>
      </c>
      <c r="L437" s="229">
        <v>2000000</v>
      </c>
      <c r="M437" s="230">
        <f t="shared" si="63"/>
        <v>2.4157500000000001</v>
      </c>
    </row>
    <row r="438" spans="1:15" s="71" customFormat="1" ht="12.75" customHeight="1" outlineLevel="1" x14ac:dyDescent="0.2">
      <c r="A438" s="172"/>
      <c r="B438" s="172"/>
      <c r="C438" s="172"/>
      <c r="D438" s="219" t="s">
        <v>138</v>
      </c>
      <c r="E438" s="180">
        <v>50540</v>
      </c>
      <c r="F438" s="203">
        <v>7.4999999999999997E-2</v>
      </c>
      <c r="G438" s="203">
        <v>8.4000000000000005E-2</v>
      </c>
      <c r="H438" s="203">
        <v>0.09</v>
      </c>
      <c r="I438" s="197">
        <v>8.4373199999999995E-2</v>
      </c>
      <c r="J438" s="197">
        <v>8.4599999999999995E-2</v>
      </c>
      <c r="K438" s="183">
        <v>4867000</v>
      </c>
      <c r="L438" s="229">
        <v>1500000</v>
      </c>
      <c r="M438" s="230">
        <f t="shared" si="63"/>
        <v>3.2446666666666668</v>
      </c>
    </row>
    <row r="439" spans="1:15" s="71" customFormat="1" ht="12.75" customHeight="1" outlineLevel="1" x14ac:dyDescent="0.2">
      <c r="A439" s="252" t="s">
        <v>121</v>
      </c>
      <c r="B439" s="253"/>
      <c r="C439" s="253"/>
      <c r="D439" s="253"/>
      <c r="E439" s="253"/>
      <c r="F439" s="253"/>
      <c r="G439" s="253"/>
      <c r="H439" s="253"/>
      <c r="I439" s="253"/>
      <c r="J439" s="254"/>
      <c r="K439" s="206">
        <f>SUM(K433:K438)</f>
        <v>41626700</v>
      </c>
      <c r="L439" s="206">
        <f>SUM(L433:L438)</f>
        <v>15000000</v>
      </c>
      <c r="M439" s="185"/>
    </row>
    <row r="440" spans="1:15" s="71" customFormat="1" ht="12.75" customHeight="1" outlineLevel="1" x14ac:dyDescent="0.2">
      <c r="A440" s="231">
        <v>43402</v>
      </c>
      <c r="B440" s="231">
        <v>43433</v>
      </c>
      <c r="C440" s="232" t="s">
        <v>123</v>
      </c>
      <c r="D440" s="233" t="s">
        <v>257</v>
      </c>
      <c r="E440" s="180">
        <v>44145</v>
      </c>
      <c r="F440" s="235">
        <v>8.3000000000000004E-2</v>
      </c>
      <c r="G440" s="235"/>
      <c r="H440" s="235"/>
      <c r="I440" s="235"/>
      <c r="J440" s="235"/>
      <c r="K440" s="236">
        <v>4945682</v>
      </c>
      <c r="L440" s="236">
        <v>4945682</v>
      </c>
      <c r="M440" s="204">
        <f>IF(L440=0,0,K440/L440)</f>
        <v>1</v>
      </c>
    </row>
    <row r="441" spans="1:15" s="71" customFormat="1" ht="12.75" customHeight="1" outlineLevel="1" x14ac:dyDescent="0.2">
      <c r="A441" s="252" t="s">
        <v>121</v>
      </c>
      <c r="B441" s="253"/>
      <c r="C441" s="253"/>
      <c r="D441" s="253"/>
      <c r="E441" s="253"/>
      <c r="F441" s="253"/>
      <c r="G441" s="253"/>
      <c r="H441" s="253"/>
      <c r="I441" s="253"/>
      <c r="J441" s="254"/>
      <c r="K441" s="206">
        <f>K440</f>
        <v>4945682</v>
      </c>
      <c r="L441" s="206">
        <f>L440</f>
        <v>4945682</v>
      </c>
      <c r="M441" s="185"/>
    </row>
    <row r="442" spans="1:15" s="198" customFormat="1" ht="12.75" customHeight="1" x14ac:dyDescent="0.2">
      <c r="A442" s="255" t="s">
        <v>252</v>
      </c>
      <c r="B442" s="256"/>
      <c r="C442" s="256"/>
      <c r="D442" s="256"/>
      <c r="E442" s="256"/>
      <c r="F442" s="256"/>
      <c r="G442" s="256"/>
      <c r="H442" s="256"/>
      <c r="I442" s="256"/>
      <c r="J442" s="257"/>
      <c r="K442" s="202">
        <f>K406+K408+K410+K413+K420+K427+K430+K432+K439+K441</f>
        <v>137108882</v>
      </c>
      <c r="L442" s="202">
        <f>L406+L408+L410+L413+L420+L427+L430+L432+L439+L441</f>
        <v>58412082</v>
      </c>
      <c r="M442" s="201"/>
      <c r="O442" s="199"/>
    </row>
    <row r="443" spans="1:15" s="198" customFormat="1" ht="12.75" customHeight="1" x14ac:dyDescent="0.2">
      <c r="A443" s="255" t="s">
        <v>258</v>
      </c>
      <c r="B443" s="256"/>
      <c r="C443" s="256"/>
      <c r="D443" s="256"/>
      <c r="E443" s="256"/>
      <c r="F443" s="256"/>
      <c r="G443" s="256"/>
      <c r="H443" s="256"/>
      <c r="I443" s="256"/>
      <c r="J443" s="257"/>
      <c r="K443" s="202">
        <f>SUM(K399,K442)</f>
        <v>1480260408</v>
      </c>
      <c r="L443" s="202">
        <f>SUM(L399,L442)</f>
        <v>773118222</v>
      </c>
      <c r="M443" s="201"/>
      <c r="N443" s="39"/>
    </row>
    <row r="444" spans="1:15" s="71" customFormat="1" ht="12.75" customHeight="1" outlineLevel="1" x14ac:dyDescent="0.2">
      <c r="A444" s="231">
        <v>43417</v>
      </c>
      <c r="B444" s="231">
        <v>43439</v>
      </c>
      <c r="C444" s="228" t="s">
        <v>160</v>
      </c>
      <c r="D444" s="233" t="s">
        <v>260</v>
      </c>
      <c r="E444" s="180">
        <v>46341</v>
      </c>
      <c r="F444" s="235">
        <v>8.5000000000000006E-2</v>
      </c>
      <c r="G444" s="235"/>
      <c r="H444" s="235"/>
      <c r="I444" s="235">
        <v>8.5500000000000007E-2</v>
      </c>
      <c r="J444" s="235"/>
      <c r="K444" s="236">
        <v>1500000</v>
      </c>
      <c r="L444" s="236">
        <v>1500000</v>
      </c>
      <c r="M444" s="204">
        <f>IF(L444=0,0,K444/L444)</f>
        <v>1</v>
      </c>
    </row>
    <row r="445" spans="1:15" s="71" customFormat="1" ht="12.75" customHeight="1" outlineLevel="1" x14ac:dyDescent="0.2">
      <c r="A445" s="252" t="s">
        <v>121</v>
      </c>
      <c r="B445" s="253"/>
      <c r="C445" s="253"/>
      <c r="D445" s="253"/>
      <c r="E445" s="253"/>
      <c r="F445" s="253"/>
      <c r="G445" s="253"/>
      <c r="H445" s="253"/>
      <c r="I445" s="253"/>
      <c r="J445" s="254"/>
      <c r="K445" s="206">
        <f>K444</f>
        <v>1500000</v>
      </c>
      <c r="L445" s="206">
        <f>L444</f>
        <v>1500000</v>
      </c>
      <c r="M445" s="185"/>
    </row>
    <row r="446" spans="1:15" s="198" customFormat="1" ht="12.75" customHeight="1" x14ac:dyDescent="0.2">
      <c r="A446" s="255" t="s">
        <v>261</v>
      </c>
      <c r="B446" s="256"/>
      <c r="C446" s="256"/>
      <c r="D446" s="256"/>
      <c r="E446" s="256"/>
      <c r="F446" s="256"/>
      <c r="G446" s="256"/>
      <c r="H446" s="256"/>
      <c r="I446" s="256"/>
      <c r="J446" s="257"/>
      <c r="K446" s="202">
        <f>K445</f>
        <v>1500000</v>
      </c>
      <c r="L446" s="202">
        <f>L445</f>
        <v>1500000</v>
      </c>
      <c r="M446" s="201"/>
      <c r="O446" s="199"/>
    </row>
    <row r="447" spans="1:15" s="198" customFormat="1" ht="12.75" customHeight="1" x14ac:dyDescent="0.2">
      <c r="A447" s="255" t="s">
        <v>262</v>
      </c>
      <c r="B447" s="256"/>
      <c r="C447" s="256"/>
      <c r="D447" s="256"/>
      <c r="E447" s="256"/>
      <c r="F447" s="256"/>
      <c r="G447" s="256"/>
      <c r="H447" s="256"/>
      <c r="I447" s="256"/>
      <c r="J447" s="257"/>
      <c r="K447" s="202">
        <f>SUM(K443,K446)</f>
        <v>1481760408</v>
      </c>
      <c r="L447" s="202">
        <f>SUM(L443,L446)</f>
        <v>774618222</v>
      </c>
      <c r="M447" s="201"/>
      <c r="N447" s="39"/>
    </row>
    <row r="448" spans="1:15" x14ac:dyDescent="0.2">
      <c r="K448" s="245"/>
    </row>
  </sheetData>
  <mergeCells count="115">
    <mergeCell ref="A445:J445"/>
    <mergeCell ref="A446:J446"/>
    <mergeCell ref="A447:J447"/>
    <mergeCell ref="A439:J439"/>
    <mergeCell ref="A432:J432"/>
    <mergeCell ref="A360:J360"/>
    <mergeCell ref="A351:J351"/>
    <mergeCell ref="A358:J358"/>
    <mergeCell ref="A395:J395"/>
    <mergeCell ref="A387:J387"/>
    <mergeCell ref="A420:J420"/>
    <mergeCell ref="A233:J233"/>
    <mergeCell ref="A246:J246"/>
    <mergeCell ref="A248:J248"/>
    <mergeCell ref="A267:J267"/>
    <mergeCell ref="A306:J306"/>
    <mergeCell ref="A410:J410"/>
    <mergeCell ref="A321:J321"/>
    <mergeCell ref="A282:J282"/>
    <mergeCell ref="A298:J298"/>
    <mergeCell ref="A300:J300"/>
    <mergeCell ref="A302:J302"/>
    <mergeCell ref="A317:J317"/>
    <mergeCell ref="A304:J304"/>
    <mergeCell ref="A319:J319"/>
    <mergeCell ref="A406:J406"/>
    <mergeCell ref="A398:J398"/>
    <mergeCell ref="A399:J399"/>
    <mergeCell ref="A349:J349"/>
    <mergeCell ref="A378:J378"/>
    <mergeCell ref="A385:J385"/>
    <mergeCell ref="A369:J369"/>
    <mergeCell ref="A367:J367"/>
    <mergeCell ref="A376:J376"/>
    <mergeCell ref="A359:J359"/>
    <mergeCell ref="A36:J36"/>
    <mergeCell ref="A132:J132"/>
    <mergeCell ref="A126:J126"/>
    <mergeCell ref="A140:J140"/>
    <mergeCell ref="A51:J51"/>
    <mergeCell ref="A44:J44"/>
    <mergeCell ref="A80:J80"/>
    <mergeCell ref="A117:J117"/>
    <mergeCell ref="A118:J118"/>
    <mergeCell ref="A73:J73"/>
    <mergeCell ref="A74:J74"/>
    <mergeCell ref="A85:J85"/>
    <mergeCell ref="A92:J92"/>
    <mergeCell ref="A94:J94"/>
    <mergeCell ref="A38:J38"/>
    <mergeCell ref="A37:J37"/>
    <mergeCell ref="A72:J72"/>
    <mergeCell ref="A161:J161"/>
    <mergeCell ref="A151:J151"/>
    <mergeCell ref="A340:J340"/>
    <mergeCell ref="A328:J328"/>
    <mergeCell ref="A308:J308"/>
    <mergeCell ref="A315:J315"/>
    <mergeCell ref="A110:J110"/>
    <mergeCell ref="A169:J169"/>
    <mergeCell ref="A116:J116"/>
    <mergeCell ref="A167:J167"/>
    <mergeCell ref="A224:J224"/>
    <mergeCell ref="A225:J225"/>
    <mergeCell ref="A101:J101"/>
    <mergeCell ref="A103:J103"/>
    <mergeCell ref="A145:J145"/>
    <mergeCell ref="L2:M2"/>
    <mergeCell ref="A10:J10"/>
    <mergeCell ref="A16:J16"/>
    <mergeCell ref="A23:J23"/>
    <mergeCell ref="A29:J29"/>
    <mergeCell ref="A206:J206"/>
    <mergeCell ref="A204:J204"/>
    <mergeCell ref="A227:J227"/>
    <mergeCell ref="A196:J196"/>
    <mergeCell ref="A197:J197"/>
    <mergeCell ref="A209:J209"/>
    <mergeCell ref="A216:J216"/>
    <mergeCell ref="A223:J223"/>
    <mergeCell ref="A182:J182"/>
    <mergeCell ref="A195:J195"/>
    <mergeCell ref="A184:J184"/>
    <mergeCell ref="A193:J193"/>
    <mergeCell ref="A152:J152"/>
    <mergeCell ref="A153:J153"/>
    <mergeCell ref="A176:J176"/>
    <mergeCell ref="A57:J57"/>
    <mergeCell ref="A60:J60"/>
    <mergeCell ref="A67:J67"/>
    <mergeCell ref="A69:J69"/>
    <mergeCell ref="A441:J441"/>
    <mergeCell ref="A427:J427"/>
    <mergeCell ref="A430:J430"/>
    <mergeCell ref="A413:J413"/>
    <mergeCell ref="A442:J442"/>
    <mergeCell ref="A443:J443"/>
    <mergeCell ref="A255:J255"/>
    <mergeCell ref="A240:J240"/>
    <mergeCell ref="A257:J257"/>
    <mergeCell ref="A260:J260"/>
    <mergeCell ref="A261:J261"/>
    <mergeCell ref="A259:J259"/>
    <mergeCell ref="A320:J320"/>
    <mergeCell ref="A274:J274"/>
    <mergeCell ref="A276:J276"/>
    <mergeCell ref="A278:J278"/>
    <mergeCell ref="A280:J280"/>
    <mergeCell ref="A289:J289"/>
    <mergeCell ref="A291:J291"/>
    <mergeCell ref="A397:J397"/>
    <mergeCell ref="A408:J408"/>
    <mergeCell ref="A330:J330"/>
    <mergeCell ref="A338:J338"/>
    <mergeCell ref="A347:J347"/>
  </mergeCells>
  <phoneticPr fontId="0" type="noConversion"/>
  <printOptions horizontalCentered="1"/>
  <pageMargins left="0" right="0" top="0.39370078740157499" bottom="0" header="0.15748031496063" footer="0.196850393700787"/>
  <pageSetup paperSize="9" scale="87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7"/>
  <sheetViews>
    <sheetView workbookViewId="0">
      <selection activeCell="K3" sqref="K3:L7"/>
    </sheetView>
  </sheetViews>
  <sheetFormatPr defaultRowHeight="12.75" x14ac:dyDescent="0.2"/>
  <cols>
    <col min="4" max="4" width="12.85546875" bestFit="1" customWidth="1"/>
    <col min="5" max="5" width="9.7109375" bestFit="1" customWidth="1"/>
    <col min="6" max="12" width="6.28515625" bestFit="1" customWidth="1"/>
    <col min="13" max="13" width="17.5703125" bestFit="1" customWidth="1"/>
    <col min="14" max="16" width="16.42578125" bestFit="1" customWidth="1"/>
  </cols>
  <sheetData>
    <row r="3" spans="2:16" x14ac:dyDescent="0.2">
      <c r="B3" s="207">
        <v>43053</v>
      </c>
      <c r="C3" s="207">
        <v>43055</v>
      </c>
      <c r="D3" t="s">
        <v>139</v>
      </c>
      <c r="E3" s="207">
        <v>43146</v>
      </c>
      <c r="F3" t="s">
        <v>137</v>
      </c>
      <c r="G3" s="208">
        <v>4.7500000000000001E-2</v>
      </c>
      <c r="H3" s="208">
        <v>4.87813E-2</v>
      </c>
      <c r="I3" s="208">
        <v>5.1999999999999998E-2</v>
      </c>
      <c r="J3" s="208">
        <v>4.7500000000000001E-2</v>
      </c>
      <c r="K3" s="208">
        <v>4.8269199999999998E-2</v>
      </c>
      <c r="L3" s="208">
        <v>4.8800000000000003E-2</v>
      </c>
      <c r="M3" s="209">
        <v>15000000000000</v>
      </c>
      <c r="N3" s="209">
        <v>3900000000000</v>
      </c>
      <c r="O3" s="209">
        <v>2600000000000</v>
      </c>
      <c r="P3" s="209">
        <v>2600000000000</v>
      </c>
    </row>
    <row r="4" spans="2:16" x14ac:dyDescent="0.2">
      <c r="C4" s="207">
        <v>43055</v>
      </c>
      <c r="D4" t="s">
        <v>140</v>
      </c>
      <c r="E4" s="207">
        <v>43419</v>
      </c>
      <c r="F4" t="s">
        <v>137</v>
      </c>
      <c r="G4" s="208">
        <v>5.1900000000000002E-2</v>
      </c>
      <c r="H4" s="208">
        <v>5.3297200000000003E-2</v>
      </c>
      <c r="I4" s="208">
        <v>5.5500000000000001E-2</v>
      </c>
      <c r="J4" s="208">
        <v>5.1900000000000002E-2</v>
      </c>
      <c r="K4" s="208">
        <v>5.253E-2</v>
      </c>
      <c r="L4" s="208">
        <v>5.3199999999999997E-2</v>
      </c>
      <c r="N4" s="209">
        <v>6000000000000</v>
      </c>
      <c r="O4" s="209">
        <v>5200000000000</v>
      </c>
      <c r="P4" s="209">
        <v>3000000000000</v>
      </c>
    </row>
    <row r="5" spans="2:16" x14ac:dyDescent="0.2">
      <c r="C5" s="207">
        <v>43055</v>
      </c>
      <c r="D5" t="s">
        <v>35</v>
      </c>
      <c r="E5" s="207">
        <v>44696</v>
      </c>
      <c r="F5" s="208">
        <v>7.0000000000000007E-2</v>
      </c>
      <c r="G5" s="208">
        <v>6.2700000000000006E-2</v>
      </c>
      <c r="H5" s="208">
        <v>6.3400300000000007E-2</v>
      </c>
      <c r="I5" s="208">
        <v>6.5000000000000002E-2</v>
      </c>
      <c r="J5" s="208">
        <v>6.2700000000000006E-2</v>
      </c>
      <c r="K5" s="208">
        <v>6.2915700000000005E-2</v>
      </c>
      <c r="L5" s="208">
        <v>6.3E-2</v>
      </c>
      <c r="N5" s="209">
        <v>9775500000000</v>
      </c>
      <c r="O5" s="209">
        <v>4250000000000</v>
      </c>
      <c r="P5" s="209">
        <v>2800000000000</v>
      </c>
    </row>
    <row r="6" spans="2:16" x14ac:dyDescent="0.2">
      <c r="C6" s="207">
        <v>43055</v>
      </c>
      <c r="D6" t="s">
        <v>43</v>
      </c>
      <c r="E6" s="207">
        <v>46522</v>
      </c>
      <c r="F6" s="208">
        <v>7.0000000000000007E-2</v>
      </c>
      <c r="G6" s="208">
        <v>6.5699999999999995E-2</v>
      </c>
      <c r="H6" s="208">
        <v>6.6803500000000002E-2</v>
      </c>
      <c r="I6" s="208">
        <v>6.8599999999999994E-2</v>
      </c>
      <c r="J6" s="208">
        <v>6.5699999999999995E-2</v>
      </c>
      <c r="K6" s="208">
        <v>6.6193399999999999E-2</v>
      </c>
      <c r="L6" s="208">
        <v>6.6500000000000004E-2</v>
      </c>
      <c r="N6" s="209">
        <v>9487500000000</v>
      </c>
      <c r="O6" s="209">
        <v>7150000000000</v>
      </c>
      <c r="P6" s="209">
        <v>4550000000000</v>
      </c>
    </row>
    <row r="7" spans="2:16" x14ac:dyDescent="0.2">
      <c r="C7" s="207">
        <v>43055</v>
      </c>
      <c r="D7" t="s">
        <v>138</v>
      </c>
      <c r="E7" s="207">
        <v>50540</v>
      </c>
      <c r="F7" s="208">
        <v>7.4999999999999997E-2</v>
      </c>
      <c r="G7" s="208">
        <v>7.2400000000000006E-2</v>
      </c>
      <c r="H7" s="208">
        <v>7.2925400000000001E-2</v>
      </c>
      <c r="I7" s="208">
        <v>7.4499999999999997E-2</v>
      </c>
      <c r="J7" s="208">
        <v>7.2400000000000006E-2</v>
      </c>
      <c r="K7" s="208">
        <v>7.2629799999999994E-2</v>
      </c>
      <c r="L7" s="208">
        <v>7.2999999999999995E-2</v>
      </c>
      <c r="N7" s="209">
        <v>9760500000000</v>
      </c>
      <c r="O7" s="209">
        <v>7300000000000</v>
      </c>
      <c r="P7" s="209">
        <v>6450000000000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Contoh_SBN</vt:lpstr>
      <vt:lpstr>SBN</vt:lpstr>
      <vt:lpstr>Sheet1</vt:lpstr>
      <vt:lpstr>Contoh_SBN!Print_Area</vt:lpstr>
      <vt:lpstr>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Azhary Hasibuan, Ishaq</cp:lastModifiedBy>
  <cp:lastPrinted>2018-11-01T07:52:48Z</cp:lastPrinted>
  <dcterms:created xsi:type="dcterms:W3CDTF">2010-01-14T01:56:27Z</dcterms:created>
  <dcterms:modified xsi:type="dcterms:W3CDTF">2019-01-03T07:18:46Z</dcterms:modified>
</cp:coreProperties>
</file>