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4000" windowHeight="9735" tabRatio="715" activeTab="1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55" i="1"/>
  <c r="K555"/>
  <c r="K554"/>
  <c r="L537"/>
  <c r="K537"/>
  <c r="M536"/>
  <c r="L553" l="1"/>
  <c r="M553" s="1"/>
  <c r="L552"/>
  <c r="M552" s="1"/>
  <c r="L551"/>
  <c r="M551" s="1"/>
  <c r="L550"/>
  <c r="M550" s="1"/>
  <c r="L549"/>
  <c r="M549" s="1"/>
  <c r="L548"/>
  <c r="M548" s="1"/>
  <c r="L547"/>
  <c r="L546"/>
  <c r="M546" s="1"/>
  <c r="L429"/>
  <c r="K429"/>
  <c r="L403"/>
  <c r="K398"/>
  <c r="K400"/>
  <c r="L400" s="1"/>
  <c r="L402"/>
  <c r="K402"/>
  <c r="K403"/>
  <c r="L398"/>
  <c r="L401"/>
  <c r="L399"/>
  <c r="L397"/>
  <c r="L554" l="1"/>
  <c r="M547"/>
  <c r="L327"/>
  <c r="K327"/>
  <c r="K328" s="1"/>
  <c r="K289"/>
  <c r="L289" l="1"/>
  <c r="M288"/>
  <c r="M287"/>
  <c r="M286"/>
  <c r="M285"/>
  <c r="L456" l="1"/>
  <c r="L455"/>
  <c r="M455" s="1"/>
  <c r="K458"/>
  <c r="L457"/>
  <c r="L354"/>
  <c r="L355" s="1"/>
  <c r="K355"/>
  <c r="M352"/>
  <c r="L273"/>
  <c r="K273"/>
  <c r="M270"/>
  <c r="L167"/>
  <c r="K167"/>
  <c r="M164"/>
  <c r="L458" l="1"/>
  <c r="L545" l="1"/>
  <c r="K545"/>
  <c r="M544"/>
  <c r="M543"/>
  <c r="M542"/>
  <c r="M541"/>
  <c r="M540"/>
  <c r="M539"/>
  <c r="M538"/>
  <c r="M498"/>
  <c r="L500"/>
  <c r="K500"/>
  <c r="L526"/>
  <c r="K526"/>
  <c r="M525"/>
  <c r="M529"/>
  <c r="L535"/>
  <c r="K535"/>
  <c r="M534"/>
  <c r="M533"/>
  <c r="M531"/>
  <c r="M530"/>
  <c r="L524" l="1"/>
  <c r="K524"/>
  <c r="M523"/>
  <c r="M522"/>
  <c r="M521"/>
  <c r="M520"/>
  <c r="M519"/>
  <c r="M518"/>
  <c r="M517"/>
  <c r="M516"/>
  <c r="L515" l="1"/>
  <c r="K515"/>
  <c r="M514"/>
  <c r="M513"/>
  <c r="M512"/>
  <c r="M511"/>
  <c r="M510"/>
  <c r="L508" l="1"/>
  <c r="K508"/>
  <c r="M507"/>
  <c r="M506"/>
  <c r="M505"/>
  <c r="M504"/>
  <c r="M503"/>
  <c r="M502"/>
  <c r="M501"/>
  <c r="L497"/>
  <c r="K497"/>
  <c r="M495"/>
  <c r="M494"/>
  <c r="M493"/>
  <c r="M492"/>
  <c r="L491"/>
  <c r="K491"/>
  <c r="M490"/>
  <c r="M489"/>
  <c r="M488"/>
  <c r="M487"/>
  <c r="M486"/>
  <c r="K527" l="1"/>
  <c r="L527"/>
  <c r="L482"/>
  <c r="K482"/>
  <c r="M477" l="1"/>
  <c r="M481"/>
  <c r="M480"/>
  <c r="M479"/>
  <c r="M478"/>
  <c r="M476"/>
  <c r="M475"/>
  <c r="M474"/>
  <c r="L473" l="1"/>
  <c r="K473"/>
  <c r="M472"/>
  <c r="L471" l="1"/>
  <c r="K471"/>
  <c r="M469"/>
  <c r="M468"/>
  <c r="M467"/>
  <c r="M466"/>
  <c r="L465"/>
  <c r="K465"/>
  <c r="M464"/>
  <c r="M463"/>
  <c r="M462"/>
  <c r="M461"/>
  <c r="M460"/>
  <c r="K454"/>
  <c r="L454"/>
  <c r="M453"/>
  <c r="M452"/>
  <c r="M451"/>
  <c r="M450"/>
  <c r="M449"/>
  <c r="M448"/>
  <c r="M447"/>
  <c r="L443"/>
  <c r="M432"/>
  <c r="M433"/>
  <c r="M434"/>
  <c r="M435"/>
  <c r="K443"/>
  <c r="M442"/>
  <c r="M441"/>
  <c r="M440"/>
  <c r="M439"/>
  <c r="M438"/>
  <c r="L437"/>
  <c r="K437"/>
  <c r="K483" s="1"/>
  <c r="M436"/>
  <c r="L446"/>
  <c r="K446"/>
  <c r="M444"/>
  <c r="L483" l="1"/>
  <c r="L414"/>
  <c r="M414" s="1"/>
  <c r="L413"/>
  <c r="M413" s="1"/>
  <c r="K415"/>
  <c r="L415" l="1"/>
  <c r="L428"/>
  <c r="K428"/>
  <c r="M427"/>
  <c r="M426"/>
  <c r="M425"/>
  <c r="M424"/>
  <c r="M423"/>
  <c r="M422"/>
  <c r="M421"/>
  <c r="L306"/>
  <c r="K306"/>
  <c r="M305"/>
  <c r="L405"/>
  <c r="K405"/>
  <c r="M404"/>
  <c r="L418"/>
  <c r="K418"/>
  <c r="K412"/>
  <c r="L420"/>
  <c r="K420"/>
  <c r="M419"/>
  <c r="M416"/>
  <c r="M406"/>
  <c r="M407"/>
  <c r="M408"/>
  <c r="M409"/>
  <c r="M410"/>
  <c r="L412"/>
  <c r="M411"/>
  <c r="L396" l="1"/>
  <c r="K396"/>
  <c r="M395"/>
  <c r="M394"/>
  <c r="M393"/>
  <c r="M392"/>
  <c r="M391"/>
  <c r="M390"/>
  <c r="M389"/>
  <c r="M382" l="1"/>
  <c r="M383"/>
  <c r="M384"/>
  <c r="M385"/>
  <c r="L388"/>
  <c r="K388"/>
  <c r="M387"/>
  <c r="M367"/>
  <c r="M368"/>
  <c r="M369"/>
  <c r="M366"/>
  <c r="L371"/>
  <c r="K371"/>
  <c r="M370"/>
  <c r="M365"/>
  <c r="M364"/>
  <c r="M363"/>
  <c r="L381"/>
  <c r="K381"/>
  <c r="M380"/>
  <c r="M379"/>
  <c r="M378"/>
  <c r="M377"/>
  <c r="M376"/>
  <c r="M375"/>
  <c r="M374"/>
  <c r="K362" l="1"/>
  <c r="M357"/>
  <c r="M358"/>
  <c r="M359"/>
  <c r="M360"/>
  <c r="L362"/>
  <c r="M361"/>
  <c r="L351" l="1"/>
  <c r="K351"/>
  <c r="M350"/>
  <c r="M349"/>
  <c r="M348"/>
  <c r="M347"/>
  <c r="M346"/>
  <c r="M345"/>
  <c r="M344"/>
  <c r="K336" l="1"/>
  <c r="K343"/>
  <c r="L343"/>
  <c r="M338"/>
  <c r="M339"/>
  <c r="M340"/>
  <c r="M342"/>
  <c r="M337"/>
  <c r="L336"/>
  <c r="M335"/>
  <c r="M334"/>
  <c r="M333"/>
  <c r="M332"/>
  <c r="M331"/>
  <c r="M330"/>
  <c r="M329"/>
  <c r="L326"/>
  <c r="M317"/>
  <c r="K326"/>
  <c r="M325"/>
  <c r="M324"/>
  <c r="M323"/>
  <c r="M322"/>
  <c r="L321"/>
  <c r="K321"/>
  <c r="M320"/>
  <c r="M319"/>
  <c r="M316"/>
  <c r="M315"/>
  <c r="L372" l="1"/>
  <c r="K372"/>
  <c r="L314"/>
  <c r="K314"/>
  <c r="M313"/>
  <c r="M312"/>
  <c r="M311"/>
  <c r="M310"/>
  <c r="M309"/>
  <c r="M308"/>
  <c r="M307"/>
  <c r="M298" l="1"/>
  <c r="L304"/>
  <c r="K304"/>
  <c r="M303"/>
  <c r="M302"/>
  <c r="M301"/>
  <c r="M300"/>
  <c r="M299"/>
  <c r="L234"/>
  <c r="K234"/>
  <c r="L232"/>
  <c r="K232"/>
  <c r="L233"/>
  <c r="L231"/>
  <c r="L105"/>
  <c r="K105"/>
  <c r="M104"/>
  <c r="L282"/>
  <c r="K282"/>
  <c r="M281"/>
  <c r="M276"/>
  <c r="M277"/>
  <c r="M278"/>
  <c r="M279"/>
  <c r="M275"/>
  <c r="K259"/>
  <c r="M254"/>
  <c r="M255"/>
  <c r="M258"/>
  <c r="M253"/>
  <c r="M225"/>
  <c r="L230"/>
  <c r="K230"/>
  <c r="M229"/>
  <c r="M228"/>
  <c r="M227"/>
  <c r="M226"/>
  <c r="M224"/>
  <c r="L259"/>
  <c r="L280"/>
  <c r="K280"/>
  <c r="L297"/>
  <c r="K297"/>
  <c r="M296"/>
  <c r="M295"/>
  <c r="M294"/>
  <c r="M293"/>
  <c r="M292"/>
  <c r="M291"/>
  <c r="M290"/>
  <c r="K235" l="1"/>
  <c r="L235"/>
  <c r="L269"/>
  <c r="K269"/>
  <c r="M268"/>
  <c r="M267"/>
  <c r="M266"/>
  <c r="M265"/>
  <c r="M264"/>
  <c r="M263"/>
  <c r="M262"/>
  <c r="L261"/>
  <c r="K261"/>
  <c r="M260"/>
  <c r="L251" l="1"/>
  <c r="L249"/>
  <c r="L247"/>
  <c r="L245"/>
  <c r="K251"/>
  <c r="K249"/>
  <c r="K247"/>
  <c r="K245"/>
  <c r="L252" l="1"/>
  <c r="K252"/>
  <c r="K243"/>
  <c r="K283" s="1"/>
  <c r="L243"/>
  <c r="M242"/>
  <c r="M241"/>
  <c r="M240"/>
  <c r="M239"/>
  <c r="M238"/>
  <c r="M237"/>
  <c r="M236"/>
  <c r="L283" l="1"/>
  <c r="L221"/>
  <c r="K221"/>
  <c r="M220"/>
  <c r="M219"/>
  <c r="M218"/>
  <c r="M217"/>
  <c r="M216"/>
  <c r="M215"/>
  <c r="M214"/>
  <c r="L213" l="1"/>
  <c r="K213"/>
  <c r="M212"/>
  <c r="M208"/>
  <c r="M204"/>
  <c r="M200"/>
  <c r="L211"/>
  <c r="K211"/>
  <c r="M210"/>
  <c r="M209"/>
  <c r="L206"/>
  <c r="K206"/>
  <c r="M205"/>
  <c r="M203"/>
  <c r="M202"/>
  <c r="L182"/>
  <c r="K182"/>
  <c r="M181"/>
  <c r="L180"/>
  <c r="K180"/>
  <c r="M179"/>
  <c r="M178"/>
  <c r="M177"/>
  <c r="L174"/>
  <c r="K174"/>
  <c r="M173"/>
  <c r="M172"/>
  <c r="M171"/>
  <c r="M170"/>
  <c r="M169"/>
  <c r="L199" l="1"/>
  <c r="K199"/>
  <c r="M198"/>
  <c r="L197" l="1"/>
  <c r="K197"/>
  <c r="M196"/>
  <c r="M195"/>
  <c r="M194"/>
  <c r="M193"/>
  <c r="L192"/>
  <c r="K192"/>
  <c r="M191"/>
  <c r="M190"/>
  <c r="M189"/>
  <c r="M188"/>
  <c r="M187"/>
  <c r="M186"/>
  <c r="M185"/>
  <c r="K222" l="1"/>
  <c r="L222"/>
  <c r="L163"/>
  <c r="K163"/>
  <c r="M162"/>
  <c r="M161"/>
  <c r="M160"/>
  <c r="M159"/>
  <c r="L158"/>
  <c r="K158"/>
  <c r="M157"/>
  <c r="M156"/>
  <c r="M155"/>
  <c r="M154"/>
  <c r="M153"/>
  <c r="M152"/>
  <c r="M151"/>
  <c r="L150"/>
  <c r="K150"/>
  <c r="L141"/>
  <c r="K141"/>
  <c r="M140"/>
  <c r="M139"/>
  <c r="M138"/>
  <c r="M137"/>
  <c r="M136"/>
  <c r="L126"/>
  <c r="K126"/>
  <c r="L125"/>
  <c r="L124"/>
  <c r="K124"/>
  <c r="L123"/>
  <c r="L183" l="1"/>
  <c r="K183"/>
  <c r="K127"/>
  <c r="L127"/>
  <c r="L122"/>
  <c r="K122"/>
  <c r="M121"/>
  <c r="L120"/>
  <c r="K120"/>
  <c r="M119"/>
  <c r="L118"/>
  <c r="K118"/>
  <c r="M117"/>
  <c r="M116"/>
  <c r="M115"/>
  <c r="L112"/>
  <c r="K112"/>
  <c r="M111"/>
  <c r="M110"/>
  <c r="M109"/>
  <c r="M108"/>
  <c r="M107"/>
  <c r="M149"/>
  <c r="M148"/>
  <c r="M147"/>
  <c r="M146"/>
  <c r="M145"/>
  <c r="M144"/>
  <c r="L135" l="1"/>
  <c r="K135"/>
  <c r="M134"/>
  <c r="M133"/>
  <c r="M132"/>
  <c r="M131"/>
  <c r="M130"/>
  <c r="M129"/>
  <c r="M128"/>
  <c r="L103" l="1"/>
  <c r="K103"/>
  <c r="M102"/>
  <c r="M101"/>
  <c r="M100"/>
  <c r="M99"/>
  <c r="M98"/>
  <c r="M97"/>
  <c r="M96"/>
  <c r="L95" l="1"/>
  <c r="K95"/>
  <c r="M94"/>
  <c r="L93" l="1"/>
  <c r="K93"/>
  <c r="M92"/>
  <c r="M91"/>
  <c r="M90"/>
  <c r="M89"/>
  <c r="M88"/>
  <c r="M87"/>
  <c r="L83" l="1"/>
  <c r="M83" s="1"/>
  <c r="L84"/>
  <c r="M84" s="1"/>
  <c r="L85"/>
  <c r="L82"/>
  <c r="K86"/>
  <c r="L86" l="1"/>
  <c r="M82"/>
  <c r="K81"/>
  <c r="L81"/>
  <c r="M78"/>
  <c r="L77" l="1"/>
  <c r="L142" s="1"/>
  <c r="K77"/>
  <c r="K142" s="1"/>
  <c r="M76"/>
  <c r="M75"/>
  <c r="M74"/>
  <c r="M73"/>
  <c r="M72"/>
  <c r="M71"/>
  <c r="M70"/>
  <c r="M61" l="1"/>
  <c r="M62"/>
  <c r="M63"/>
  <c r="M64"/>
  <c r="M65"/>
  <c r="L67"/>
  <c r="K67"/>
  <c r="M66"/>
  <c r="L60" l="1"/>
  <c r="K60"/>
  <c r="M59"/>
  <c r="L58" l="1"/>
  <c r="K58"/>
  <c r="M57"/>
  <c r="M56"/>
  <c r="M55"/>
  <c r="M54"/>
  <c r="M53"/>
  <c r="M52"/>
  <c r="M51"/>
  <c r="L50" l="1"/>
  <c r="K50"/>
  <c r="M49"/>
  <c r="M48"/>
  <c r="M47"/>
  <c r="M46"/>
  <c r="M45"/>
  <c r="M44"/>
  <c r="L33" l="1"/>
  <c r="K33"/>
  <c r="M32"/>
  <c r="M31"/>
  <c r="M30"/>
  <c r="M29"/>
  <c r="M28"/>
  <c r="M27"/>
  <c r="L43" l="1"/>
  <c r="L68" s="1"/>
  <c r="K43"/>
  <c r="K68" s="1"/>
  <c r="M42"/>
  <c r="M41"/>
  <c r="M40"/>
  <c r="M39"/>
  <c r="M38"/>
  <c r="M37"/>
  <c r="M36"/>
  <c r="L26" l="1"/>
  <c r="K26"/>
  <c r="M25"/>
  <c r="M24"/>
  <c r="M23"/>
  <c r="M22"/>
  <c r="M21"/>
  <c r="M20"/>
  <c r="M19"/>
  <c r="M16" l="1"/>
  <c r="L18"/>
  <c r="K18"/>
  <c r="M17"/>
  <c r="M15"/>
  <c r="M14"/>
  <c r="M13"/>
  <c r="M12"/>
  <c r="L11" l="1"/>
  <c r="L34" s="1"/>
  <c r="K11"/>
  <c r="K34" s="1"/>
  <c r="M10"/>
  <c r="M9"/>
  <c r="M8"/>
  <c r="M7"/>
  <c r="M6"/>
  <c r="M5"/>
  <c r="M4"/>
  <c r="L35" l="1"/>
  <c r="L69" s="1"/>
  <c r="L143" s="1"/>
  <c r="L184" s="1"/>
  <c r="L223" s="1"/>
  <c r="L284" s="1"/>
  <c r="L328" s="1"/>
  <c r="L373" s="1"/>
  <c r="L430" s="1"/>
  <c r="L484" s="1"/>
  <c r="L528" s="1"/>
  <c r="L556" s="1"/>
  <c r="K35"/>
  <c r="K69" s="1"/>
  <c r="K143" s="1"/>
  <c r="K184" s="1"/>
  <c r="K223" s="1"/>
  <c r="K284" s="1"/>
  <c r="K373" s="1"/>
  <c r="K430" s="1"/>
  <c r="K484" s="1"/>
  <c r="K528" s="1"/>
  <c r="K556" s="1"/>
  <c r="L249" i="5" l="1"/>
  <c r="O234" l="1"/>
  <c r="N234"/>
  <c r="M234"/>
  <c r="O232"/>
  <c r="N232"/>
  <c r="M232"/>
  <c r="O231"/>
  <c r="N231"/>
  <c r="M231"/>
  <c r="O230"/>
  <c r="N230"/>
  <c r="M230"/>
  <c r="O229"/>
  <c r="N229"/>
  <c r="M229"/>
  <c r="O225"/>
  <c r="N225"/>
  <c r="M225"/>
  <c r="O224"/>
  <c r="N224"/>
  <c r="M224"/>
  <c r="O222"/>
  <c r="N222"/>
  <c r="M222"/>
  <c r="L217"/>
  <c r="P216"/>
  <c r="P215"/>
  <c r="O214"/>
  <c r="N214"/>
  <c r="M214"/>
  <c r="O212"/>
  <c r="N212"/>
  <c r="M212"/>
  <c r="P210"/>
  <c r="P209"/>
  <c r="P208"/>
  <c r="P207"/>
  <c r="P206"/>
  <c r="R205"/>
  <c r="P205"/>
  <c r="O228" l="1"/>
  <c r="N228" s="1"/>
  <c r="M228" s="1"/>
  <c r="O227" s="1"/>
  <c r="N227" s="1"/>
  <c r="M227" s="1"/>
  <c r="R204"/>
  <c r="P202"/>
  <c r="P200"/>
  <c r="P199"/>
  <c r="P198"/>
  <c r="P197"/>
  <c r="R196"/>
  <c r="P196"/>
  <c r="R195"/>
  <c r="P192"/>
  <c r="P191"/>
  <c r="B191"/>
  <c r="P190"/>
  <c r="P189"/>
  <c r="P188"/>
  <c r="P187"/>
  <c r="P186"/>
  <c r="R185"/>
  <c r="P185"/>
  <c r="R184"/>
  <c r="P182"/>
  <c r="P181"/>
  <c r="P180"/>
  <c r="P179"/>
  <c r="P178"/>
  <c r="P177"/>
  <c r="B177"/>
  <c r="R176"/>
  <c r="R175"/>
  <c r="P170"/>
  <c r="P169"/>
  <c r="P168"/>
  <c r="P167"/>
  <c r="R166"/>
  <c r="P166"/>
  <c r="R165"/>
  <c r="P164"/>
  <c r="P163"/>
  <c r="P160"/>
  <c r="P158"/>
  <c r="P157"/>
  <c r="P155"/>
  <c r="P154"/>
  <c r="P153"/>
  <c r="P152"/>
  <c r="R151"/>
  <c r="P151"/>
  <c r="R150"/>
  <c r="P148"/>
  <c r="R146"/>
  <c r="P146"/>
  <c r="R145"/>
  <c r="P141"/>
  <c r="P140"/>
  <c r="P139"/>
  <c r="P138"/>
  <c r="P137"/>
  <c r="R136"/>
  <c r="R135"/>
  <c r="P131"/>
  <c r="P130"/>
  <c r="P129"/>
  <c r="P128"/>
  <c r="P127"/>
  <c r="P126"/>
  <c r="R125"/>
  <c r="R124"/>
  <c r="P122"/>
  <c r="P121"/>
  <c r="P120"/>
  <c r="P119"/>
  <c r="P118"/>
  <c r="P117"/>
  <c r="R116"/>
  <c r="R115"/>
  <c r="R114"/>
  <c r="P113"/>
  <c r="P111"/>
  <c r="P110"/>
  <c r="P109"/>
  <c r="P108"/>
  <c r="P107"/>
  <c r="R106"/>
  <c r="R105"/>
  <c r="P101"/>
  <c r="P100"/>
  <c r="P97"/>
  <c r="R96"/>
  <c r="R95"/>
  <c r="P95"/>
  <c r="R94"/>
  <c r="P94"/>
  <c r="P92"/>
  <c r="P91"/>
  <c r="P90"/>
  <c r="P89"/>
  <c r="P88"/>
  <c r="P87"/>
  <c r="P86"/>
  <c r="R85"/>
  <c r="P85"/>
  <c r="R84"/>
  <c r="P84"/>
  <c r="R83"/>
  <c r="P83"/>
  <c r="P82"/>
  <c r="W80"/>
  <c r="V80"/>
  <c r="U80"/>
  <c r="W78"/>
  <c r="V78"/>
  <c r="U78"/>
  <c r="P74"/>
  <c r="P73"/>
  <c r="R72"/>
  <c r="P72"/>
  <c r="R71"/>
  <c r="P71"/>
  <c r="R70"/>
  <c r="P70"/>
  <c r="P69"/>
  <c r="P68"/>
  <c r="R67"/>
  <c r="P67"/>
  <c r="R66"/>
  <c r="P66"/>
  <c r="P65"/>
  <c r="P64"/>
  <c r="P63" l="1"/>
  <c r="R59"/>
  <c r="P59"/>
  <c r="P58"/>
  <c r="P57"/>
  <c r="P55"/>
  <c r="P54"/>
  <c r="P53"/>
  <c r="P52"/>
  <c r="P51"/>
  <c r="P50"/>
  <c r="P49"/>
  <c r="P46"/>
  <c r="R45"/>
  <c r="R44"/>
  <c r="R43"/>
  <c r="P42"/>
  <c r="P41"/>
  <c r="P40"/>
  <c r="P39"/>
  <c r="P38"/>
  <c r="P37"/>
  <c r="R36"/>
  <c r="P36"/>
  <c r="R35"/>
  <c r="P35"/>
  <c r="R34"/>
  <c r="P34"/>
  <c r="P33"/>
  <c r="P32"/>
  <c r="P31"/>
  <c r="P30"/>
  <c r="P28"/>
  <c r="R26"/>
  <c r="P26"/>
  <c r="R25"/>
  <c r="P25"/>
  <c r="R24"/>
  <c r="P24"/>
  <c r="P23"/>
  <c r="P22"/>
  <c r="P21"/>
  <c r="P20"/>
  <c r="P19"/>
  <c r="P17"/>
  <c r="P16"/>
  <c r="P15"/>
  <c r="AB14"/>
  <c r="P14"/>
  <c r="AB13"/>
  <c r="P13"/>
  <c r="AB12"/>
  <c r="W11"/>
  <c r="V11"/>
  <c r="U11"/>
  <c r="AB16" l="1"/>
  <c r="P10"/>
  <c r="P9"/>
  <c r="P8"/>
  <c r="P7"/>
  <c r="P6"/>
  <c r="O12" l="1"/>
  <c r="AA6" s="1"/>
  <c r="AA8" s="1"/>
  <c r="O79"/>
  <c r="R79" s="1"/>
  <c r="O81"/>
  <c r="N79"/>
  <c r="M79"/>
  <c r="M81"/>
  <c r="N81"/>
  <c r="N12"/>
  <c r="M12"/>
  <c r="N226" l="1"/>
  <c r="N233" s="1"/>
  <c r="N235" s="1"/>
  <c r="P79"/>
  <c r="P12"/>
  <c r="O217"/>
  <c r="P248" s="1"/>
  <c r="N217"/>
  <c r="N218" s="1"/>
  <c r="M226"/>
  <c r="M233" s="1"/>
  <c r="M235" s="1"/>
  <c r="O226"/>
  <c r="O233" s="1"/>
  <c r="O235" s="1"/>
  <c r="M217"/>
  <c r="P81"/>
  <c r="Y6"/>
  <c r="Z6" s="1"/>
  <c r="R81"/>
  <c r="N236" l="1"/>
  <c r="O218"/>
  <c r="R39" s="1"/>
  <c r="O236"/>
  <c r="P249"/>
  <c r="P250" s="1"/>
  <c r="P217"/>
  <c r="M218"/>
  <c r="M236"/>
  <c r="Z8"/>
  <c r="AB6"/>
  <c r="AB8" s="1"/>
  <c r="R10"/>
  <c r="R61" l="1"/>
  <c r="R63"/>
  <c r="R48"/>
  <c r="R31"/>
  <c r="R20"/>
  <c r="R17"/>
  <c r="R9"/>
  <c r="R12"/>
  <c r="R21"/>
  <c r="R15"/>
  <c r="R16"/>
  <c r="R29"/>
  <c r="R8"/>
  <c r="R50"/>
  <c r="S10"/>
  <c r="S25"/>
  <c r="S35"/>
  <c r="S16"/>
  <c r="S17"/>
  <c r="S31"/>
  <c r="S61"/>
  <c r="S39"/>
  <c r="S46"/>
  <c r="S52"/>
  <c r="S72"/>
  <c r="S86"/>
  <c r="S98"/>
  <c r="S145"/>
  <c r="S162"/>
  <c r="S191"/>
  <c r="S63"/>
  <c r="S84"/>
  <c r="S105"/>
  <c r="S116"/>
  <c r="S125"/>
  <c r="S136"/>
  <c r="S157"/>
  <c r="S175"/>
  <c r="S186"/>
  <c r="S206"/>
  <c r="S8"/>
  <c r="S32"/>
  <c r="S20"/>
  <c r="S27"/>
  <c r="S50"/>
  <c r="S95"/>
  <c r="S112"/>
  <c r="S177"/>
  <c r="S114"/>
  <c r="S146"/>
  <c r="S204"/>
  <c r="S6"/>
  <c r="S26"/>
  <c r="S36"/>
  <c r="S18"/>
  <c r="S41"/>
  <c r="S21"/>
  <c r="S43"/>
  <c r="S48"/>
  <c r="S67"/>
  <c r="S73"/>
  <c r="S92"/>
  <c r="S108"/>
  <c r="S147"/>
  <c r="S165"/>
  <c r="S192"/>
  <c r="S64"/>
  <c r="S88"/>
  <c r="S106"/>
  <c r="S117"/>
  <c r="S128"/>
  <c r="S137"/>
  <c r="S166"/>
  <c r="S176"/>
  <c r="S196"/>
  <c r="S215"/>
  <c r="S68"/>
  <c r="S66"/>
  <c r="S132"/>
  <c r="S181"/>
  <c r="S9"/>
  <c r="S24"/>
  <c r="S34"/>
  <c r="S15"/>
  <c r="S29"/>
  <c r="S59"/>
  <c r="S37"/>
  <c r="S45"/>
  <c r="S51"/>
  <c r="S70"/>
  <c r="S85"/>
  <c r="S96"/>
  <c r="S142"/>
  <c r="S152"/>
  <c r="S184"/>
  <c r="S201"/>
  <c r="S71"/>
  <c r="S103"/>
  <c r="S115"/>
  <c r="S124"/>
  <c r="S135"/>
  <c r="S150"/>
  <c r="S172"/>
  <c r="S185"/>
  <c r="S205"/>
  <c r="S22"/>
  <c r="S13"/>
  <c r="S57"/>
  <c r="S44"/>
  <c r="S83"/>
  <c r="S151"/>
  <c r="S195"/>
  <c r="S94"/>
  <c r="S122"/>
  <c r="S167"/>
  <c r="R217" l="1"/>
  <c r="T26"/>
  <c r="T10"/>
  <c r="T36"/>
  <c r="T17"/>
</calcChain>
</file>

<file path=xl/sharedStrings.xml><?xml version="1.0" encoding="utf-8"?>
<sst xmlns="http://schemas.openxmlformats.org/spreadsheetml/2006/main" count="1328" uniqueCount="301">
  <si>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</si>
  <si>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</si>
  <si>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</si>
  <si>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</si>
  <si>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</si>
  <si>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</si>
  <si>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</si>
  <si>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</si>
  <si>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</si>
  <si>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</si>
  <si>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</si>
  <si>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</si>
  <si>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</si>
  <si>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</si>
  <si>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</si>
  <si>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</si>
  <si>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</si>
  <si>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</si>
  <si>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</si>
  <si>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</si>
  <si>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</si>
  <si>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</si>
  <si>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</si>
  <si>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</si>
  <si>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</si>
  <si>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</si>
  <si>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</si>
  <si>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</si>
  <si>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</si>
  <si>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</si>
  <si>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</si>
  <si>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</si>
  <si>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</si>
  <si>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</si>
  <si>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</si>
  <si>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</si>
  <si>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</si>
  <si>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</si>
  <si>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</si>
  <si>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</si>
  <si>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</si>
  <si>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</si>
  <si>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</si>
  <si>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</si>
  <si>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</si>
  <si>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</si>
  <si>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</si>
  <si>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</si>
  <si>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</si>
  <si>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</si>
  <si>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</si>
  <si>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</si>
  <si>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</si>
  <si>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</si>
  <si>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</si>
  <si>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</si>
  <si>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</si>
  <si>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</si>
  <si>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</si>
  <si>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</si>
  <si>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</si>
  <si>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</si>
  <si>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</si>
  <si>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</si>
  <si>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</si>
  <si>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</si>
  <si>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</si>
  <si>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</si>
  <si>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</si>
  <si>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</si>
  <si>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</si>
  <si>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</si>
  <si>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</si>
  <si>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</si>
  <si>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</si>
  <si>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</si>
  <si>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</si>
  <si>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</si>
  <si>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</si>
  <si>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</si>
  <si>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</si>
  <si>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</si>
  <si>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</si>
  <si>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</si>
  <si>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</si>
  <si>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</si>
  <si>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</si>
  <si>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</si>
  <si>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</si>
  <si>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</si>
  <si>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</si>
  <si>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</si>
  <si>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</si>
  <si>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</si>
  <si>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</si>
  <si>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</si>
  <si>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</si>
  <si>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</si>
  <si>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</si>
  <si>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</si>
  <si>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</si>
  <si>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</si>
  <si>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</si>
  <si>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</si>
  <si>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</si>
  <si>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</si>
  <si>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</si>
  <si>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</si>
  <si>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</si>
  <si>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</si>
  <si>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</si>
  <si>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</si>
  <si>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</si>
  <si>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</si>
  <si>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</si>
  <si>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</si>
  <si>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</si>
  <si>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</si>
  <si>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</si>
  <si>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</si>
  <si>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</si>
  <si>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</si>
  <si>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</si>
  <si>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</si>
  <si>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</si>
  <si>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</si>
  <si>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</si>
  <si>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</si>
  <si>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</si>
  <si>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</si>
  <si>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</si>
  <si>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</si>
  <si>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</si>
  <si>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</si>
  <si>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</si>
  <si>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</si>
  <si>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</si>
  <si>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FR0089</t>
  </si>
  <si>
    <t>FR0090</t>
  </si>
  <si>
    <t>FR0091</t>
  </si>
  <si>
    <t>FR0092</t>
  </si>
  <si>
    <t>Ringkasan Hasil Penerbitan Surat Berharga Negara Tahun 2022 (juta Rupiah) / Summary Result of Government Securities Issuance in 2022 (million Rupiah)</t>
  </si>
  <si>
    <t>SPN03220406</t>
  </si>
  <si>
    <t>SPN12230105</t>
  </si>
  <si>
    <t>FR0093</t>
  </si>
  <si>
    <t>PBS031</t>
  </si>
  <si>
    <t>PBS032</t>
  </si>
  <si>
    <t>PBS029</t>
  </si>
  <si>
    <t>SPNS12072022</t>
  </si>
  <si>
    <t>PBS034</t>
  </si>
  <si>
    <t>PBS033</t>
  </si>
  <si>
    <t>SPN03220420</t>
  </si>
  <si>
    <t>G r a n d   T o t a l   b u l a n   J a n u a r i   2 0 2 2</t>
  </si>
  <si>
    <t>G r a n d   T o t a l   b u l a n   F e b r u a r i   2 0 2 2</t>
  </si>
  <si>
    <t>SPN03220505</t>
  </si>
  <si>
    <t>SPN12230203</t>
  </si>
  <si>
    <t>PBS030</t>
  </si>
  <si>
    <t>G r a n d   T o t a l   s . d .  T a n g g a l  2 7  b u l a n   J a n u a r i   2 0 2 2</t>
  </si>
  <si>
    <t>SPNS09082022</t>
  </si>
  <si>
    <t>SPN03220518</t>
  </si>
  <si>
    <t>Bookbuilding</t>
  </si>
  <si>
    <t>ORI021</t>
  </si>
  <si>
    <t>G r a n d   T o t a l   s . d .  T a n g g a l  2 4  b u l a n   F e b r u a r i   2 0 2 2</t>
  </si>
  <si>
    <t>G r a n d   T o t a l   b u l a n   M a r e t   2 0 2 2</t>
  </si>
  <si>
    <t>SPN03220602</t>
  </si>
  <si>
    <t>SPN12230303</t>
  </si>
  <si>
    <t>Private Placement</t>
  </si>
  <si>
    <t>FR0094</t>
  </si>
  <si>
    <t>USD650.000</t>
  </si>
  <si>
    <t>FR0082</t>
  </si>
  <si>
    <t>FR0087</t>
  </si>
  <si>
    <t>SPNS06092022</t>
  </si>
  <si>
    <t>SPN03220615</t>
  </si>
  <si>
    <t>G r a n d   T o t a l   s . d .  T a n g g a l  3 1  b u l a n   M a r e t   2 0 2 2</t>
  </si>
  <si>
    <t>SPN03220629</t>
  </si>
  <si>
    <t>SPN12230330</t>
  </si>
  <si>
    <t>SPNS04102022</t>
  </si>
  <si>
    <t>G r a n d   T o t a l   b u l a n   A p r i l   2 0 2 2</t>
  </si>
  <si>
    <t>Lelang/Auction (GSO)</t>
  </si>
  <si>
    <t>PBS035</t>
  </si>
  <si>
    <t>RI0332</t>
  </si>
  <si>
    <t>RI0352</t>
  </si>
  <si>
    <t>USD750.000.000</t>
  </si>
  <si>
    <t>Lelang/Auction GSO</t>
  </si>
  <si>
    <t>SPN03220713</t>
  </si>
  <si>
    <t>SPN12230413</t>
  </si>
  <si>
    <t>G r a n d   T o t a l   b u l a n   M e i   2 0 2 2</t>
  </si>
  <si>
    <t>SPN03220810</t>
  </si>
  <si>
    <t>G r a n d   T o t a l   s . d .  T a n g g a l  2 5   b u l a n   A p r i l   2 0 2 2</t>
  </si>
  <si>
    <t>SPNS15112022</t>
  </si>
  <si>
    <t>G r a n d   T o t a l   s . d .  T a n g g a l  2 7  b u l a n   M e i   2 0 2 2</t>
  </si>
  <si>
    <t>SPN03220825</t>
  </si>
  <si>
    <t>SPN12230526</t>
  </si>
  <si>
    <t>G r a n d   T o t a l   b u l a n   J u n i   2 0 2 2</t>
  </si>
  <si>
    <t>SPN03220907</t>
  </si>
  <si>
    <t>RIJPY0625</t>
  </si>
  <si>
    <t>RIJPY0627</t>
  </si>
  <si>
    <t>RIJPY0629</t>
  </si>
  <si>
    <t>RIJPY0632</t>
  </si>
  <si>
    <t>JPY68.200.000.000</t>
  </si>
  <si>
    <t>JPY5.100.000.000</t>
  </si>
  <si>
    <t>JPY1.700.000.000</t>
  </si>
  <si>
    <t>JPY6.000.000.000</t>
  </si>
  <si>
    <t>SBR011</t>
  </si>
  <si>
    <t>SPN03220921</t>
  </si>
  <si>
    <t>SPN12230622</t>
  </si>
  <si>
    <t>G r a n d   T o t a l   b u l a n   J u l i   2 0 2 2</t>
  </si>
  <si>
    <t>SPN03221005</t>
  </si>
  <si>
    <t>SPNS13122022</t>
  </si>
  <si>
    <t>SW002</t>
  </si>
  <si>
    <t>SR016</t>
  </si>
  <si>
    <t>SNI0632</t>
  </si>
  <si>
    <t>USD1.500.000.000</t>
  </si>
  <si>
    <t>G r a n d   T o t a l   s . d .  T a n g g a l  3 0  b u l a n   J u n i   2 0 2 2</t>
  </si>
  <si>
    <t>SNI0627</t>
  </si>
  <si>
    <t>SPNS10012023</t>
  </si>
  <si>
    <t>SPN03221019</t>
  </si>
  <si>
    <t>SPN12230720</t>
  </si>
  <si>
    <t xml:space="preserve">- </t>
  </si>
  <si>
    <t>G r a n d   T o t a l   s . d .  T a n g g a l  2 8  b u l a n   J u l i   2 0 2 2</t>
  </si>
  <si>
    <t>G r a n d   T o t a l   b u l a n   A g u s t u s   2 0 2 2</t>
  </si>
  <si>
    <t>SPN03221102</t>
  </si>
  <si>
    <t>SPNS07022023</t>
  </si>
  <si>
    <t>SPN03221117</t>
  </si>
  <si>
    <t>SPN12230818</t>
  </si>
  <si>
    <t>FR0095</t>
  </si>
  <si>
    <t>FR0096</t>
  </si>
  <si>
    <t>FR0097</t>
  </si>
  <si>
    <t>PBS036</t>
  </si>
  <si>
    <t>G r a n d   T o t a l   b u l a n   S e p t e m b e r   2 0 2 2</t>
  </si>
  <si>
    <t>SPN03221130</t>
  </si>
  <si>
    <t>G r a n d   T o t a l   s . d .  T a n g g a l  2 6  b u l a n   A g u s t u s   2 0 2 2</t>
  </si>
  <si>
    <t>BI Reverse Repo 3 month (First 3 month coupon is 4.09000%)</t>
  </si>
  <si>
    <t>USDFR0003</t>
  </si>
  <si>
    <t>SPNS07032023</t>
  </si>
  <si>
    <t>SPN03221214</t>
  </si>
  <si>
    <t>SPN12230914</t>
  </si>
  <si>
    <t>FR0098</t>
  </si>
  <si>
    <t>PBSG001</t>
  </si>
  <si>
    <t>FRS001</t>
  </si>
  <si>
    <t>FRS002</t>
  </si>
  <si>
    <t>PBS-035</t>
  </si>
  <si>
    <t>SR017</t>
  </si>
  <si>
    <t>SWR003</t>
  </si>
  <si>
    <t>SPN03221228</t>
  </si>
  <si>
    <t>G r a n d   T o t a l   s . d .  T a n g g a l  2 9  b u l a n   S e p t e m b e r   2 0 2 2</t>
  </si>
  <si>
    <t>VR0086</t>
  </si>
  <si>
    <t>VR0087</t>
  </si>
  <si>
    <t>VR0078</t>
  </si>
  <si>
    <t>VR0079</t>
  </si>
  <si>
    <t>VR0080</t>
  </si>
  <si>
    <t>VR0081</t>
  </si>
  <si>
    <t>VR0082</t>
  </si>
  <si>
    <t>VR0083</t>
  </si>
  <si>
    <t>VR0084</t>
  </si>
  <si>
    <t>VR0085</t>
  </si>
  <si>
    <t>BI Reverse Repo 3 month (First 3 month coupon is 4.71583%)</t>
  </si>
  <si>
    <t>SW003</t>
  </si>
  <si>
    <t>SW004</t>
  </si>
  <si>
    <t>SPNS04042023</t>
  </si>
  <si>
    <t>G r a n d   T o t a l   b u l a n   O k t o b e r  2 0 2 2</t>
  </si>
  <si>
    <t>SPN03230111</t>
  </si>
  <si>
    <t>SPN12231012</t>
  </si>
  <si>
    <t>ORI022</t>
  </si>
  <si>
    <t>SPN03230125</t>
  </si>
  <si>
    <t>FRSDG001</t>
  </si>
  <si>
    <t>SPNS02052023</t>
  </si>
  <si>
    <t>G r a n d   T o t a l   b u l a n   N o v e m b e r  2 0 2 2</t>
  </si>
  <si>
    <t>G r a n d   T o t a l   s . d .  T a n g g a l  2 7  b u l a n   O k t o b e r  2 0 2 2</t>
  </si>
  <si>
    <t>SPN03230208</t>
  </si>
  <si>
    <t>SPN12231109</t>
  </si>
  <si>
    <t>G r a n d   T o t a l   s . d .  T a n g g a l  2 4  b u l a n   N o v e m b e r  2 0 2 2</t>
  </si>
  <si>
    <t>SPN03230222</t>
  </si>
  <si>
    <t>SPNS30052023</t>
  </si>
  <si>
    <t>G r a n d   T o t a l   b u l a n   D e s e m b e r  2 0 2 2</t>
  </si>
  <si>
    <t>SPN03230308</t>
  </si>
  <si>
    <t>SPN12231207</t>
  </si>
  <si>
    <t>USD5.335.000</t>
  </si>
  <si>
    <t>USD5.859.000</t>
  </si>
  <si>
    <t>USD24.239.000</t>
  </si>
  <si>
    <t>USD27.228.000</t>
  </si>
  <si>
    <t>VR0074</t>
  </si>
  <si>
    <t>VR0075</t>
  </si>
  <si>
    <t>VR0076</t>
  </si>
  <si>
    <t>VR0077</t>
  </si>
  <si>
    <t>BI Reverse Repo 3 month (First 3 month coupon is 3.04142%)</t>
  </si>
  <si>
    <t>RI0927</t>
  </si>
  <si>
    <t>RI0932</t>
  </si>
  <si>
    <t>RI0952</t>
  </si>
  <si>
    <t>USD1400.000.000</t>
  </si>
  <si>
    <t>G r a n d   T o t a l   s . d .  T a n g g a l  2 9  b u l a n   D e s e m b e r  2 0 2 2</t>
  </si>
  <si>
    <t>VR0088</t>
  </si>
  <si>
    <t>VR0089</t>
  </si>
  <si>
    <t>VR0090</t>
  </si>
  <si>
    <t>VR0091</t>
  </si>
  <si>
    <t>VR0092</t>
  </si>
  <si>
    <t>VR0093</t>
  </si>
  <si>
    <t>VR0094</t>
  </si>
  <si>
    <t>VR0095</t>
  </si>
  <si>
    <t>BI Reverse Repo 3 month (First 3 month coupon is 6.25682%)</t>
  </si>
  <si>
    <t>ST009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</si>
</sst>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charset val="1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Border="1" applyAlignment="1">
      <alignment horizontal="right"/>
    </xf>
    <xf numFmtId="0" fontId="19" fillId="0" borderId="14" xfId="0" applyFont="1" applyBorder="1" applyAlignment="1"/>
    <xf numFmtId="15" fontId="19" fillId="0" borderId="15" xfId="0" applyNumberFormat="1" applyFont="1" applyBorder="1" applyAlignment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NumberFormat="1" applyFont="1" applyBorder="1" applyAlignment="1"/>
    <xf numFmtId="0" fontId="19" fillId="0" borderId="0" xfId="0" applyNumberFormat="1" applyFont="1" applyBorder="1" applyAlignment="1"/>
    <xf numFmtId="0" fontId="20" fillId="0" borderId="14" xfId="0" applyFont="1" applyBorder="1" applyAlignment="1"/>
    <xf numFmtId="15" fontId="20" fillId="0" borderId="15" xfId="0" applyNumberFormat="1" applyFont="1" applyBorder="1" applyAlignment="1"/>
    <xf numFmtId="10" fontId="20" fillId="0" borderId="16" xfId="41" applyNumberFormat="1" applyFont="1" applyBorder="1" applyAlignment="1"/>
    <xf numFmtId="0" fontId="20" fillId="0" borderId="15" xfId="0" applyFont="1" applyBorder="1" applyAlignment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 applyAlignment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/>
    <xf numFmtId="43" fontId="20" fillId="0" borderId="16" xfId="28" applyFont="1" applyBorder="1" applyAlignment="1"/>
    <xf numFmtId="41" fontId="19" fillId="0" borderId="22" xfId="0" applyNumberFormat="1" applyFont="1" applyFill="1" applyBorder="1" applyAlignment="1">
      <alignment horizontal="left"/>
    </xf>
    <xf numFmtId="41" fontId="19" fillId="0" borderId="22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 applyAlignment="1"/>
    <xf numFmtId="167" fontId="20" fillId="0" borderId="15" xfId="0" applyNumberFormat="1" applyFont="1" applyBorder="1" applyAlignment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0" fontId="20" fillId="0" borderId="14" xfId="0" applyFont="1" applyFill="1" applyBorder="1" applyAlignment="1"/>
    <xf numFmtId="15" fontId="20" fillId="0" borderId="15" xfId="0" applyNumberFormat="1" applyFont="1" applyFill="1" applyBorder="1" applyAlignment="1"/>
    <xf numFmtId="165" fontId="20" fillId="0" borderId="16" xfId="41" applyNumberFormat="1" applyFont="1" applyFill="1" applyBorder="1" applyAlignment="1"/>
    <xf numFmtId="165" fontId="20" fillId="0" borderId="15" xfId="0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0" fontId="20" fillId="0" borderId="0" xfId="0" applyFont="1" applyFill="1"/>
    <xf numFmtId="167" fontId="20" fillId="0" borderId="26" xfId="0" applyNumberFormat="1" applyFont="1" applyFill="1" applyBorder="1" applyAlignment="1"/>
    <xf numFmtId="167" fontId="20" fillId="0" borderId="23" xfId="0" applyNumberFormat="1" applyFont="1" applyFill="1" applyBorder="1" applyAlignment="1"/>
    <xf numFmtId="167" fontId="20" fillId="0" borderId="15" xfId="0" applyNumberFormat="1" applyFont="1" applyFill="1" applyBorder="1" applyAlignment="1"/>
    <xf numFmtId="43" fontId="20" fillId="0" borderId="16" xfId="28" applyFont="1" applyFill="1" applyBorder="1" applyAlignment="1"/>
    <xf numFmtId="167" fontId="20" fillId="0" borderId="27" xfId="0" applyNumberFormat="1" applyFont="1" applyFill="1" applyBorder="1" applyAlignment="1"/>
    <xf numFmtId="0" fontId="20" fillId="0" borderId="28" xfId="0" applyFont="1" applyFill="1" applyBorder="1" applyAlignment="1"/>
    <xf numFmtId="15" fontId="20" fillId="0" borderId="26" xfId="0" applyNumberFormat="1" applyFont="1" applyFill="1" applyBorder="1" applyAlignment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Fill="1" applyBorder="1" applyAlignment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 applyBorder="1" applyAlignment="1"/>
    <xf numFmtId="167" fontId="20" fillId="26" borderId="23" xfId="0" applyNumberFormat="1" applyFont="1" applyFill="1" applyBorder="1" applyAlignment="1"/>
    <xf numFmtId="167" fontId="20" fillId="26" borderId="15" xfId="0" applyNumberFormat="1" applyFont="1" applyFill="1" applyBorder="1" applyAlignment="1"/>
    <xf numFmtId="0" fontId="20" fillId="26" borderId="14" xfId="0" applyFont="1" applyFill="1" applyBorder="1" applyAlignment="1"/>
    <xf numFmtId="15" fontId="20" fillId="26" borderId="15" xfId="0" applyNumberFormat="1" applyFont="1" applyFill="1" applyBorder="1" applyAlignment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 applyAlignment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 applyBorder="1" applyAlignment="1"/>
    <xf numFmtId="0" fontId="19" fillId="26" borderId="13" xfId="0" applyNumberFormat="1" applyFont="1" applyFill="1" applyBorder="1" applyAlignment="1"/>
    <xf numFmtId="0" fontId="19" fillId="26" borderId="0" xfId="0" applyNumberFormat="1" applyFont="1" applyFill="1" applyBorder="1" applyAlignment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0" fontId="19" fillId="0" borderId="13" xfId="0" applyNumberFormat="1" applyFont="1" applyFill="1" applyBorder="1" applyAlignment="1"/>
    <xf numFmtId="167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Fill="1" applyBorder="1" applyAlignment="1"/>
    <xf numFmtId="165" fontId="20" fillId="0" borderId="28" xfId="0" applyNumberFormat="1" applyFont="1" applyFill="1" applyBorder="1" applyAlignment="1"/>
    <xf numFmtId="0" fontId="20" fillId="0" borderId="22" xfId="0" applyFont="1" applyBorder="1"/>
    <xf numFmtId="41" fontId="19" fillId="0" borderId="22" xfId="29" applyFont="1" applyBorder="1"/>
    <xf numFmtId="41" fontId="20" fillId="0" borderId="22" xfId="0" applyNumberFormat="1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 applyAlignment="1"/>
    <xf numFmtId="0" fontId="20" fillId="26" borderId="28" xfId="0" applyFont="1" applyFill="1" applyBorder="1" applyAlignment="1"/>
    <xf numFmtId="15" fontId="20" fillId="26" borderId="26" xfId="0" applyNumberFormat="1" applyFont="1" applyFill="1" applyBorder="1" applyAlignment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 applyAlignment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NumberFormat="1" applyFont="1" applyFill="1" applyBorder="1" applyAlignment="1"/>
    <xf numFmtId="167" fontId="20" fillId="26" borderId="35" xfId="0" applyNumberFormat="1" applyFont="1" applyFill="1" applyBorder="1" applyAlignment="1"/>
    <xf numFmtId="0" fontId="20" fillId="26" borderId="36" xfId="0" applyFont="1" applyFill="1" applyBorder="1" applyAlignment="1"/>
    <xf numFmtId="15" fontId="20" fillId="26" borderId="32" xfId="0" applyNumberFormat="1" applyFont="1" applyFill="1" applyBorder="1" applyAlignment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 applyAlignment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NumberFormat="1" applyFont="1" applyFill="1" applyBorder="1" applyAlignment="1"/>
    <xf numFmtId="0" fontId="19" fillId="26" borderId="40" xfId="0" applyNumberFormat="1" applyFont="1" applyFill="1" applyBorder="1" applyAlignment="1"/>
    <xf numFmtId="0" fontId="20" fillId="26" borderId="41" xfId="0" applyFont="1" applyFill="1" applyBorder="1" applyAlignment="1"/>
    <xf numFmtId="15" fontId="20" fillId="26" borderId="42" xfId="0" applyNumberFormat="1" applyFont="1" applyFill="1" applyBorder="1" applyAlignment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 applyAlignment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NumberFormat="1" applyFont="1" applyFill="1" applyBorder="1" applyAlignment="1"/>
    <xf numFmtId="0" fontId="22" fillId="0" borderId="0" xfId="0" applyFont="1"/>
    <xf numFmtId="15" fontId="20" fillId="26" borderId="0" xfId="0" applyNumberFormat="1" applyFont="1" applyFill="1" applyBorder="1" applyAlignment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43" fontId="20" fillId="0" borderId="0" xfId="0" applyNumberFormat="1" applyFont="1" applyFill="1"/>
    <xf numFmtId="0" fontId="20" fillId="0" borderId="36" xfId="0" applyFont="1" applyFill="1" applyBorder="1" applyAlignment="1"/>
    <xf numFmtId="15" fontId="20" fillId="0" borderId="32" xfId="0" applyNumberFormat="1" applyFont="1" applyFill="1" applyBorder="1" applyAlignment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Fill="1" applyBorder="1" applyAlignment="1"/>
    <xf numFmtId="165" fontId="20" fillId="0" borderId="16" xfId="0" applyNumberFormat="1" applyFont="1" applyBorder="1" applyAlignment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41" fontId="20" fillId="0" borderId="47" xfId="29" quotePrefix="1" applyFont="1" applyFill="1" applyBorder="1" applyAlignment="1"/>
    <xf numFmtId="0" fontId="20" fillId="0" borderId="47" xfId="0" applyNumberFormat="1" applyFont="1" applyFill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Fill="1" applyBorder="1" applyAlignment="1">
      <alignment horizontal="center"/>
    </xf>
    <xf numFmtId="165" fontId="20" fillId="0" borderId="47" xfId="0" applyNumberFormat="1" applyFont="1" applyFill="1" applyBorder="1" applyAlignment="1">
      <alignment horizontal="center"/>
    </xf>
    <xf numFmtId="0" fontId="20" fillId="0" borderId="0" xfId="0" applyFont="1"/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64" fontId="20" fillId="0" borderId="47" xfId="29" applyNumberFormat="1" applyFont="1" applyFill="1" applyBorder="1" applyAlignment="1">
      <alignment horizontal="center"/>
    </xf>
    <xf numFmtId="41" fontId="20" fillId="0" borderId="47" xfId="29" applyFont="1" applyFill="1" applyBorder="1" applyAlignment="1"/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41" fontId="20" fillId="0" borderId="47" xfId="29" quotePrefix="1" applyFont="1" applyFill="1" applyBorder="1" applyAlignment="1">
      <alignment horizontal="right"/>
    </xf>
    <xf numFmtId="164" fontId="20" fillId="0" borderId="47" xfId="29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41" fontId="19" fillId="0" borderId="52" xfId="29" quotePrefix="1" applyFont="1" applyFill="1" applyBorder="1" applyAlignment="1"/>
    <xf numFmtId="164" fontId="19" fillId="0" borderId="52" xfId="29" applyNumberFormat="1" applyFont="1" applyFill="1" applyBorder="1" applyAlignment="1">
      <alignment horizontal="center"/>
    </xf>
    <xf numFmtId="0" fontId="19" fillId="0" borderId="0" xfId="0" applyFont="1" applyFill="1" applyBorder="1"/>
    <xf numFmtId="3" fontId="25" fillId="0" borderId="53" xfId="0" applyNumberFormat="1" applyFont="1" applyBorder="1" applyAlignment="1" applyProtection="1">
      <alignment horizontal="right" vertical="top" wrapText="1" readingOrder="1"/>
      <protection locked="0"/>
    </xf>
    <xf numFmtId="3" fontId="25" fillId="0" borderId="47" xfId="0" applyNumberFormat="1" applyFont="1" applyBorder="1" applyAlignment="1" applyProtection="1">
      <alignment horizontal="right" vertical="top" wrapText="1" readingOrder="1"/>
      <protection locked="0"/>
    </xf>
    <xf numFmtId="41" fontId="19" fillId="0" borderId="22" xfId="29" quotePrefix="1" applyFont="1" applyFill="1" applyBorder="1" applyAlignment="1"/>
    <xf numFmtId="168" fontId="26" fillId="0" borderId="47" xfId="0" applyNumberFormat="1" applyFont="1" applyFill="1" applyBorder="1" applyAlignment="1">
      <alignment horizontal="center"/>
    </xf>
    <xf numFmtId="0" fontId="20" fillId="0" borderId="47" xfId="0" applyFont="1" applyFill="1" applyBorder="1" applyAlignment="1">
      <alignment horizontal="left"/>
    </xf>
    <xf numFmtId="41" fontId="20" fillId="0" borderId="48" xfId="29" quotePrefix="1" applyFont="1" applyFill="1" applyBorder="1" applyAlignment="1"/>
    <xf numFmtId="164" fontId="20" fillId="0" borderId="52" xfId="29" applyNumberFormat="1" applyFont="1" applyFill="1" applyBorder="1" applyAlignment="1">
      <alignment horizontal="center"/>
    </xf>
    <xf numFmtId="15" fontId="27" fillId="0" borderId="47" xfId="0" applyNumberFormat="1" applyFont="1" applyFill="1" applyBorder="1" applyAlignment="1">
      <alignment horizontal="center"/>
    </xf>
    <xf numFmtId="0" fontId="27" fillId="0" borderId="25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vertical="center"/>
    </xf>
    <xf numFmtId="15" fontId="27" fillId="0" borderId="25" xfId="0" applyNumberFormat="1" applyFont="1" applyFill="1" applyBorder="1" applyAlignment="1">
      <alignment horizontal="center" vertical="center"/>
    </xf>
    <xf numFmtId="165" fontId="27" fillId="0" borderId="47" xfId="41" applyNumberFormat="1" applyFont="1" applyFill="1" applyBorder="1" applyAlignment="1">
      <alignment horizontal="center" vertical="center" wrapText="1"/>
    </xf>
    <xf numFmtId="165" fontId="27" fillId="0" borderId="25" xfId="41" applyNumberFormat="1" applyFont="1" applyFill="1" applyBorder="1" applyAlignment="1">
      <alignment horizontal="center" vertical="center"/>
    </xf>
    <xf numFmtId="165" fontId="27" fillId="0" borderId="47" xfId="0" applyNumberFormat="1" applyFont="1" applyFill="1" applyBorder="1" applyAlignment="1">
      <alignment horizontal="center" vertical="center"/>
    </xf>
    <xf numFmtId="41" fontId="27" fillId="0" borderId="47" xfId="29" quotePrefix="1" applyFont="1" applyFill="1" applyBorder="1" applyAlignment="1">
      <alignment vertical="center"/>
    </xf>
    <xf numFmtId="164" fontId="27" fillId="0" borderId="47" xfId="29" applyNumberFormat="1" applyFont="1" applyFill="1" applyBorder="1" applyAlignment="1">
      <alignment horizontal="right"/>
    </xf>
    <xf numFmtId="0" fontId="27" fillId="0" borderId="0" xfId="0" applyFont="1" applyFill="1"/>
    <xf numFmtId="41" fontId="28" fillId="0" borderId="22" xfId="29" quotePrefix="1" applyFont="1" applyFill="1" applyBorder="1" applyAlignment="1"/>
    <xf numFmtId="0" fontId="27" fillId="0" borderId="0" xfId="0" applyFont="1" applyFill="1" applyBorder="1"/>
    <xf numFmtId="41" fontId="27" fillId="0" borderId="0" xfId="29" quotePrefix="1" applyFont="1" applyFill="1" applyBorder="1" applyAlignment="1">
      <alignment vertical="center"/>
    </xf>
    <xf numFmtId="164" fontId="19" fillId="0" borderId="47" xfId="29" applyNumberFormat="1" applyFont="1" applyFill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quotePrefix="1" applyNumberFormat="1" applyFont="1" applyFill="1" applyBorder="1" applyAlignment="1">
      <alignment horizontal="right"/>
    </xf>
    <xf numFmtId="165" fontId="27" fillId="0" borderId="25" xfId="41" quotePrefix="1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19" fillId="0" borderId="0" xfId="0" applyFont="1" applyFill="1"/>
    <xf numFmtId="15" fontId="20" fillId="0" borderId="48" xfId="0" applyNumberFormat="1" applyFont="1" applyFill="1" applyBorder="1" applyAlignment="1">
      <alignment horizontal="center"/>
    </xf>
    <xf numFmtId="0" fontId="20" fillId="0" borderId="48" xfId="0" applyNumberFormat="1" applyFont="1" applyFill="1" applyBorder="1" applyAlignment="1">
      <alignment horizontal="center"/>
    </xf>
    <xf numFmtId="0" fontId="24" fillId="0" borderId="48" xfId="0" applyFont="1" applyBorder="1"/>
    <xf numFmtId="165" fontId="20" fillId="0" borderId="48" xfId="41" applyNumberFormat="1" applyFont="1" applyFill="1" applyBorder="1" applyAlignment="1">
      <alignment horizontal="center"/>
    </xf>
    <xf numFmtId="165" fontId="20" fillId="0" borderId="48" xfId="0" applyNumberFormat="1" applyFont="1" applyFill="1" applyBorder="1" applyAlignment="1">
      <alignment horizontal="center"/>
    </xf>
    <xf numFmtId="41" fontId="20" fillId="0" borderId="48" xfId="29" quotePrefix="1" applyFont="1" applyFill="1" applyBorder="1" applyAlignment="1">
      <alignment horizontal="left"/>
    </xf>
    <xf numFmtId="164" fontId="20" fillId="0" borderId="48" xfId="29" applyNumberFormat="1" applyFont="1" applyFill="1" applyBorder="1" applyAlignment="1">
      <alignment horizontal="right"/>
    </xf>
    <xf numFmtId="41" fontId="20" fillId="0" borderId="47" xfId="29" quotePrefix="1" applyFont="1" applyFill="1" applyBorder="1" applyAlignment="1">
      <alignment horizontal="left"/>
    </xf>
    <xf numFmtId="41" fontId="28" fillId="0" borderId="48" xfId="29" quotePrefix="1" applyFont="1" applyFill="1" applyBorder="1" applyAlignment="1"/>
    <xf numFmtId="165" fontId="20" fillId="0" borderId="0" xfId="0" applyNumberFormat="1" applyFont="1" applyFill="1" applyAlignment="1">
      <alignment horizontal="center"/>
    </xf>
    <xf numFmtId="165" fontId="20" fillId="0" borderId="0" xfId="0" quotePrefix="1" applyNumberFormat="1" applyFont="1" applyFill="1" applyAlignment="1">
      <alignment horizontal="center"/>
    </xf>
    <xf numFmtId="0" fontId="20" fillId="0" borderId="0" xfId="0" quotePrefix="1" applyFont="1" applyFill="1" applyAlignment="1">
      <alignment horizontal="center"/>
    </xf>
    <xf numFmtId="165" fontId="20" fillId="0" borderId="23" xfId="41" applyNumberFormat="1" applyFont="1" applyFill="1" applyBorder="1" applyAlignment="1">
      <alignment horizontal="center"/>
    </xf>
    <xf numFmtId="0" fontId="20" fillId="0" borderId="47" xfId="0" quotePrefix="1" applyFont="1" applyFill="1" applyBorder="1" applyAlignment="1">
      <alignment horizontal="center"/>
    </xf>
    <xf numFmtId="165" fontId="20" fillId="0" borderId="54" xfId="0" applyNumberFormat="1" applyFont="1" applyFill="1" applyBorder="1" applyAlignment="1">
      <alignment horizontal="center"/>
    </xf>
    <xf numFmtId="165" fontId="20" fillId="0" borderId="23" xfId="41" quotePrefix="1" applyNumberFormat="1" applyFont="1" applyFill="1" applyBorder="1" applyAlignment="1">
      <alignment horizontal="center"/>
    </xf>
    <xf numFmtId="165" fontId="20" fillId="0" borderId="48" xfId="41" quotePrefix="1" applyNumberFormat="1" applyFont="1" applyFill="1" applyBorder="1" applyAlignment="1">
      <alignment horizontal="center"/>
    </xf>
    <xf numFmtId="165" fontId="20" fillId="0" borderId="47" xfId="0" quotePrefix="1" applyNumberFormat="1" applyFont="1" applyFill="1" applyBorder="1" applyAlignment="1">
      <alignment horizontal="center"/>
    </xf>
    <xf numFmtId="3" fontId="29" fillId="0" borderId="53" xfId="0" quotePrefix="1" applyNumberFormat="1" applyFont="1" applyBorder="1" applyAlignment="1" applyProtection="1">
      <alignment horizontal="right" vertical="top" wrapText="1" readingOrder="1"/>
      <protection locked="0"/>
    </xf>
    <xf numFmtId="10" fontId="27" fillId="0" borderId="47" xfId="0" applyNumberFormat="1" applyFont="1" applyFill="1" applyBorder="1" applyAlignment="1">
      <alignment horizontal="center" vertical="center"/>
    </xf>
    <xf numFmtId="0" fontId="28" fillId="0" borderId="47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0" fontId="28" fillId="0" borderId="47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164" fontId="27" fillId="0" borderId="47" xfId="29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19" fillId="0" borderId="0" xfId="0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41" fontId="19" fillId="0" borderId="47" xfId="29" quotePrefix="1" applyFont="1" applyFill="1" applyBorder="1" applyAlignment="1"/>
    <xf numFmtId="168" fontId="20" fillId="0" borderId="23" xfId="0" applyNumberFormat="1" applyFont="1" applyFill="1" applyBorder="1" applyAlignment="1">
      <alignment horizontal="center"/>
    </xf>
    <xf numFmtId="15" fontId="20" fillId="0" borderId="0" xfId="0" applyNumberFormat="1" applyFont="1" applyFill="1" applyBorder="1" applyAlignment="1">
      <alignment horizontal="center"/>
    </xf>
    <xf numFmtId="168" fontId="26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65" fontId="20" fillId="0" borderId="0" xfId="41" applyNumberFormat="1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165" fontId="20" fillId="0" borderId="25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left"/>
    </xf>
    <xf numFmtId="168" fontId="20" fillId="0" borderId="53" xfId="0" applyNumberFormat="1" applyFont="1" applyFill="1" applyBorder="1" applyAlignment="1">
      <alignment horizontal="center"/>
    </xf>
    <xf numFmtId="15" fontId="20" fillId="0" borderId="53" xfId="0" applyNumberFormat="1" applyFont="1" applyFill="1" applyBorder="1" applyAlignment="1">
      <alignment horizontal="center"/>
    </xf>
    <xf numFmtId="168" fontId="26" fillId="0" borderId="53" xfId="0" applyNumberFormat="1" applyFont="1" applyFill="1" applyBorder="1" applyAlignment="1">
      <alignment horizontal="center"/>
    </xf>
    <xf numFmtId="165" fontId="20" fillId="0" borderId="25" xfId="41" applyNumberFormat="1" applyFont="1" applyFill="1" applyBorder="1" applyAlignment="1">
      <alignment horizontal="center"/>
    </xf>
    <xf numFmtId="165" fontId="20" fillId="0" borderId="53" xfId="41" applyNumberFormat="1" applyFont="1" applyFill="1" applyBorder="1" applyAlignment="1">
      <alignment horizontal="center"/>
    </xf>
    <xf numFmtId="165" fontId="20" fillId="0" borderId="53" xfId="0" applyNumberFormat="1" applyFont="1" applyFill="1" applyBorder="1" applyAlignment="1">
      <alignment horizontal="center"/>
    </xf>
    <xf numFmtId="41" fontId="20" fillId="0" borderId="53" xfId="29" quotePrefix="1" applyFont="1" applyFill="1" applyBorder="1" applyAlignment="1"/>
    <xf numFmtId="164" fontId="20" fillId="0" borderId="53" xfId="29" applyNumberFormat="1" applyFont="1" applyFill="1" applyBorder="1" applyAlignment="1">
      <alignment horizontal="center"/>
    </xf>
    <xf numFmtId="164" fontId="20" fillId="0" borderId="22" xfId="29" applyNumberFormat="1" applyFont="1" applyFill="1" applyBorder="1" applyAlignment="1">
      <alignment horizontal="center"/>
    </xf>
    <xf numFmtId="165" fontId="20" fillId="0" borderId="55" xfId="41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left"/>
    </xf>
    <xf numFmtId="0" fontId="20" fillId="0" borderId="23" xfId="0" applyFont="1" applyFill="1" applyBorder="1" applyAlignment="1">
      <alignment horizontal="left"/>
    </xf>
    <xf numFmtId="15" fontId="20" fillId="0" borderId="54" xfId="0" applyNumberFormat="1" applyFont="1" applyFill="1" applyBorder="1" applyAlignment="1">
      <alignment horizontal="center"/>
    </xf>
    <xf numFmtId="165" fontId="20" fillId="0" borderId="53" xfId="41" quotePrefix="1" applyNumberFormat="1" applyFont="1" applyFill="1" applyBorder="1" applyAlignment="1">
      <alignment horizontal="center"/>
    </xf>
    <xf numFmtId="165" fontId="20" fillId="0" borderId="25" xfId="41" quotePrefix="1" applyNumberFormat="1" applyFont="1" applyFill="1" applyBorder="1" applyAlignment="1">
      <alignment horizontal="center"/>
    </xf>
    <xf numFmtId="165" fontId="30" fillId="0" borderId="47" xfId="41" applyNumberFormat="1" applyFont="1" applyFill="1" applyBorder="1" applyAlignment="1">
      <alignment horizontal="center"/>
    </xf>
    <xf numFmtId="3" fontId="29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5" fontId="20" fillId="0" borderId="58" xfId="0" applyNumberFormat="1" applyFont="1" applyFill="1" applyBorder="1" applyAlignment="1">
      <alignment horizontal="center"/>
    </xf>
    <xf numFmtId="165" fontId="27" fillId="0" borderId="47" xfId="41" applyNumberFormat="1" applyFont="1" applyFill="1" applyBorder="1" applyAlignment="1">
      <alignment horizontal="center" vertical="center" wrapText="1"/>
    </xf>
    <xf numFmtId="41" fontId="20" fillId="0" borderId="22" xfId="29" quotePrefix="1" applyFont="1" applyFill="1" applyBorder="1" applyAlignment="1"/>
    <xf numFmtId="167" fontId="20" fillId="0" borderId="27" xfId="0" applyNumberFormat="1" applyFont="1" applyFill="1" applyBorder="1" applyAlignment="1">
      <alignment horizontal="center" vertical="center" wrapText="1"/>
    </xf>
    <xf numFmtId="167" fontId="20" fillId="0" borderId="23" xfId="0" applyNumberFormat="1" applyFont="1" applyFill="1" applyBorder="1" applyAlignment="1">
      <alignment horizontal="center" vertical="center" wrapText="1"/>
    </xf>
    <xf numFmtId="167" fontId="20" fillId="0" borderId="26" xfId="0" applyNumberFormat="1" applyFont="1" applyFill="1" applyBorder="1" applyAlignment="1">
      <alignment horizontal="center" vertical="center" wrapText="1"/>
    </xf>
    <xf numFmtId="167" fontId="20" fillId="0" borderId="15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165" fontId="27" fillId="0" borderId="47" xfId="41" applyNumberFormat="1" applyFont="1" applyFill="1" applyBorder="1" applyAlignment="1">
      <alignment horizontal="center" vertical="center" wrapText="1"/>
    </xf>
    <xf numFmtId="0" fontId="28" fillId="0" borderId="24" xfId="0" applyNumberFormat="1" applyFont="1" applyFill="1" applyBorder="1" applyAlignment="1">
      <alignment horizontal="center"/>
    </xf>
    <xf numFmtId="0" fontId="28" fillId="0" borderId="20" xfId="0" applyNumberFormat="1" applyFont="1" applyFill="1" applyBorder="1" applyAlignment="1">
      <alignment horizontal="center"/>
    </xf>
    <xf numFmtId="0" fontId="28" fillId="0" borderId="45" xfId="0" applyNumberFormat="1" applyFont="1" applyFill="1" applyBorder="1" applyAlignment="1">
      <alignment horizontal="center"/>
    </xf>
    <xf numFmtId="0" fontId="19" fillId="0" borderId="49" xfId="0" applyNumberFormat="1" applyFont="1" applyFill="1" applyBorder="1" applyAlignment="1">
      <alignment horizontal="center"/>
    </xf>
    <xf numFmtId="0" fontId="19" fillId="0" borderId="50" xfId="0" applyNumberFormat="1" applyFont="1" applyFill="1" applyBorder="1" applyAlignment="1">
      <alignment horizontal="center"/>
    </xf>
    <xf numFmtId="0" fontId="19" fillId="0" borderId="51" xfId="0" applyNumberFormat="1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NumberFormat="1" applyFont="1" applyFill="1" applyBorder="1" applyAlignment="1">
      <alignment horizontal="center"/>
    </xf>
    <xf numFmtId="0" fontId="19" fillId="0" borderId="20" xfId="0" applyNumberFormat="1" applyFont="1" applyFill="1" applyBorder="1" applyAlignment="1">
      <alignment horizontal="center"/>
    </xf>
    <xf numFmtId="0" fontId="19" fillId="0" borderId="45" xfId="0" applyNumberFormat="1" applyFont="1" applyFill="1" applyBorder="1" applyAlignment="1">
      <alignment horizontal="center"/>
    </xf>
    <xf numFmtId="0" fontId="19" fillId="0" borderId="22" xfId="0" applyNumberFormat="1" applyFont="1" applyFill="1" applyBorder="1" applyAlignment="1">
      <alignment horizontal="center"/>
    </xf>
    <xf numFmtId="0" fontId="19" fillId="0" borderId="54" xfId="0" applyNumberFormat="1" applyFont="1" applyFill="1" applyBorder="1" applyAlignment="1">
      <alignment horizontal="center"/>
    </xf>
    <xf numFmtId="0" fontId="19" fillId="0" borderId="57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/>
    <cellStyle name="Normal 2 2" xfId="47"/>
    <cellStyle name="Normal 4" xfId="48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>
      <c r="A1" s="1" t="s">
        <v>44</v>
      </c>
      <c r="B1" s="1"/>
    </row>
    <row r="3" spans="1:28" ht="33.75">
      <c r="A3" s="6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3"/>
    </row>
    <row r="4" spans="1:28" ht="9.75" customHeight="1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4"/>
    </row>
    <row r="5" spans="1:28" ht="13.5" customHeight="1">
      <c r="A5" s="16">
        <v>2012</v>
      </c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M5" s="23"/>
      <c r="N5" s="24"/>
      <c r="O5" s="22"/>
      <c r="P5" s="25"/>
      <c r="Q5" s="26"/>
      <c r="R5" s="55"/>
    </row>
    <row r="6" spans="1:28" ht="13.5" customHeight="1">
      <c r="A6" s="60">
        <v>40918</v>
      </c>
      <c r="B6" s="61">
        <v>40920</v>
      </c>
      <c r="C6" s="18" t="s">
        <v>38</v>
      </c>
      <c r="D6" s="19">
        <v>41010</v>
      </c>
      <c r="E6" s="50">
        <v>0</v>
      </c>
      <c r="F6" s="27">
        <v>3.8124999999999999E-2</v>
      </c>
      <c r="G6" s="27">
        <v>4.2510300000000001E-2</v>
      </c>
      <c r="H6" s="27">
        <v>4.6249999999999999E-2</v>
      </c>
      <c r="I6" s="27">
        <v>3.8124999999999999E-2</v>
      </c>
      <c r="J6" s="28">
        <v>3.8699999999999998E-2</v>
      </c>
      <c r="K6" s="28">
        <v>3.9375E-2</v>
      </c>
      <c r="L6" s="22">
        <v>7000000</v>
      </c>
      <c r="M6" s="22">
        <v>5340000</v>
      </c>
      <c r="N6" s="22">
        <v>2100000</v>
      </c>
      <c r="O6" s="22">
        <v>1000000</v>
      </c>
      <c r="P6" s="46">
        <f>M6/O6</f>
        <v>5.34</v>
      </c>
      <c r="Q6" s="56">
        <v>0.04</v>
      </c>
      <c r="R6" s="56"/>
      <c r="S6" s="57">
        <f>O6*J6/$R$10</f>
        <v>39656643.565745413</v>
      </c>
      <c r="T6" s="57"/>
      <c r="Y6" s="39">
        <f>SUM(O6:O127)</f>
        <v>169717805</v>
      </c>
      <c r="Z6" s="39">
        <f>Y6-SUM(O11,O78,O80)</f>
        <v>169717805</v>
      </c>
      <c r="AA6" s="39">
        <f>SUM(O6:O63)</f>
        <v>98372805</v>
      </c>
      <c r="AB6" s="39">
        <f>Z6-AA6</f>
        <v>71345000</v>
      </c>
    </row>
    <row r="7" spans="1:28" ht="13.5" customHeight="1">
      <c r="A7" s="60"/>
      <c r="B7" s="88"/>
      <c r="C7" s="18" t="s">
        <v>37</v>
      </c>
      <c r="D7" s="19">
        <v>41285</v>
      </c>
      <c r="E7" s="50"/>
      <c r="F7" s="27">
        <v>4.2500000000000003E-2</v>
      </c>
      <c r="G7" s="27">
        <v>4.64795E-2</v>
      </c>
      <c r="H7" s="27">
        <v>5.0937499999999997E-2</v>
      </c>
      <c r="I7" s="27">
        <v>4.2500000000000003E-2</v>
      </c>
      <c r="J7" s="28">
        <v>4.4999999999999998E-2</v>
      </c>
      <c r="K7" s="28">
        <v>4.5312499999999999E-2</v>
      </c>
      <c r="L7" s="22"/>
      <c r="M7" s="22">
        <v>8400000</v>
      </c>
      <c r="N7" s="22">
        <v>2350000</v>
      </c>
      <c r="O7" s="22">
        <v>2350000</v>
      </c>
      <c r="P7" s="46">
        <f>M7/O7</f>
        <v>3.5744680851063828</v>
      </c>
      <c r="Q7" s="56">
        <v>4.4999999999999998E-2</v>
      </c>
      <c r="R7" s="56"/>
      <c r="S7" s="57"/>
      <c r="T7" s="57"/>
      <c r="Z7" s="39">
        <v>270419408</v>
      </c>
    </row>
    <row r="8" spans="1:28" ht="13.5" customHeight="1">
      <c r="A8" s="16"/>
      <c r="B8" s="17"/>
      <c r="C8" s="18" t="s">
        <v>34</v>
      </c>
      <c r="D8" s="19">
        <v>42840</v>
      </c>
      <c r="E8" s="27">
        <v>6.25E-2</v>
      </c>
      <c r="F8" s="27">
        <v>5.3749999999999999E-2</v>
      </c>
      <c r="G8" s="27">
        <v>5.5071799999999997E-2</v>
      </c>
      <c r="H8" s="27">
        <v>5.7500000000000002E-2</v>
      </c>
      <c r="I8" s="27">
        <v>5.3749999999999999E-2</v>
      </c>
      <c r="J8" s="28">
        <v>5.4477200000000003E-2</v>
      </c>
      <c r="K8" s="28">
        <v>5.5E-2</v>
      </c>
      <c r="L8" s="22"/>
      <c r="M8" s="22">
        <v>2001000</v>
      </c>
      <c r="N8" s="22">
        <v>800000</v>
      </c>
      <c r="O8" s="22">
        <v>800000</v>
      </c>
      <c r="P8" s="46">
        <f>M8/O8</f>
        <v>2.5012500000000002</v>
      </c>
      <c r="Q8" s="56">
        <v>5.45E-2</v>
      </c>
      <c r="R8" s="56">
        <f>O8*J8/$O$218</f>
        <v>1.6228675337265212E-4</v>
      </c>
      <c r="S8" s="57">
        <f>O8*J8/$R$10</f>
        <v>44659078.095293567</v>
      </c>
      <c r="T8" s="57"/>
      <c r="Z8" s="102">
        <f>Z6/Z7</f>
        <v>0.62760955752110814</v>
      </c>
      <c r="AA8" s="102">
        <f>AA6/Z7</f>
        <v>0.36377864195309534</v>
      </c>
      <c r="AB8" s="102">
        <f>AB6/Z7</f>
        <v>0.2638309155680128</v>
      </c>
    </row>
    <row r="9" spans="1:28" ht="13.5" customHeight="1">
      <c r="A9" s="16"/>
      <c r="B9" s="17"/>
      <c r="C9" s="18" t="s">
        <v>35</v>
      </c>
      <c r="D9" s="19">
        <v>44696</v>
      </c>
      <c r="E9" s="27">
        <v>7.0000000000000007E-2</v>
      </c>
      <c r="F9" s="27">
        <v>6.1874999999999999E-2</v>
      </c>
      <c r="G9" s="27">
        <v>6.2820100000000004E-2</v>
      </c>
      <c r="H9" s="27">
        <v>6.4687499999999995E-2</v>
      </c>
      <c r="I9" s="27">
        <v>6.1874999999999999E-2</v>
      </c>
      <c r="J9" s="28">
        <v>6.2399799999999998E-2</v>
      </c>
      <c r="K9" s="28">
        <v>6.25E-2</v>
      </c>
      <c r="L9" s="22"/>
      <c r="M9" s="22">
        <v>4642000</v>
      </c>
      <c r="N9" s="22">
        <v>2200000</v>
      </c>
      <c r="O9" s="22">
        <v>2200000</v>
      </c>
      <c r="P9" s="46">
        <f>M9/O9</f>
        <v>2.11</v>
      </c>
      <c r="Q9" s="56">
        <v>6.2399999999999997E-2</v>
      </c>
      <c r="R9" s="56">
        <f>O9*J9/$O$218</f>
        <v>5.1119216151037034E-4</v>
      </c>
      <c r="S9" s="57">
        <f>O9*J9/$R$10</f>
        <v>140673038.23727033</v>
      </c>
      <c r="T9" s="57"/>
    </row>
    <row r="10" spans="1:28" ht="13.5" customHeight="1">
      <c r="A10" s="16"/>
      <c r="B10" s="17"/>
      <c r="C10" s="18" t="s">
        <v>32</v>
      </c>
      <c r="D10" s="19">
        <v>48380</v>
      </c>
      <c r="E10" s="27">
        <v>8.2500000000000004E-2</v>
      </c>
      <c r="F10" s="27">
        <v>7.1249999999999994E-2</v>
      </c>
      <c r="G10" s="27">
        <v>7.21778E-2</v>
      </c>
      <c r="H10" s="27">
        <v>7.8125E-2</v>
      </c>
      <c r="I10" s="27">
        <v>7.1249999999999994E-2</v>
      </c>
      <c r="J10" s="28">
        <v>7.17999E-2</v>
      </c>
      <c r="K10" s="28">
        <v>7.2187500000000002E-2</v>
      </c>
      <c r="L10" s="22"/>
      <c r="M10" s="22">
        <v>7286000</v>
      </c>
      <c r="N10" s="22">
        <v>3650000</v>
      </c>
      <c r="O10" s="22">
        <v>3650000</v>
      </c>
      <c r="P10" s="46">
        <f>M10/O10</f>
        <v>1.9961643835616438</v>
      </c>
      <c r="Q10" s="56">
        <v>7.1800000000000003E-2</v>
      </c>
      <c r="R10" s="56">
        <f>O10*J10/$O$218</f>
        <v>9.7587683979963086E-4</v>
      </c>
      <c r="S10" s="57">
        <f>O10*J10/$R$10</f>
        <v>268547858</v>
      </c>
      <c r="T10" s="62">
        <f>SUM(S6:S10)</f>
        <v>493536617.89830929</v>
      </c>
    </row>
    <row r="11" spans="1:28" s="71" customFormat="1" ht="13.5" customHeight="1">
      <c r="A11" s="76">
        <v>40918</v>
      </c>
      <c r="B11" s="72">
        <v>40925</v>
      </c>
      <c r="C11" s="77" t="s">
        <v>39</v>
      </c>
      <c r="D11" s="78">
        <v>51883</v>
      </c>
      <c r="E11" s="79">
        <v>5.2499999999999998E-2</v>
      </c>
      <c r="F11" s="80"/>
      <c r="G11" s="80"/>
      <c r="H11" s="80"/>
      <c r="I11" s="80"/>
      <c r="J11" s="81"/>
      <c r="K11" s="81"/>
      <c r="L11" s="82">
        <v>22630000</v>
      </c>
      <c r="M11" s="83" t="s">
        <v>41</v>
      </c>
      <c r="N11" s="83" t="s">
        <v>40</v>
      </c>
      <c r="O11" s="83" t="s">
        <v>40</v>
      </c>
      <c r="P11" s="84"/>
      <c r="Q11" s="85"/>
      <c r="R11" s="56"/>
      <c r="U11" s="71">
        <f>3600*U12</f>
        <v>32976000</v>
      </c>
      <c r="V11" s="71">
        <f>U12*1750</f>
        <v>16030000</v>
      </c>
      <c r="W11" s="71">
        <f>U12*1750</f>
        <v>16030000</v>
      </c>
    </row>
    <row r="12" spans="1:28" s="71" customFormat="1" ht="13.5" customHeight="1">
      <c r="A12" s="73"/>
      <c r="B12" s="74"/>
      <c r="C12" s="64"/>
      <c r="D12" s="65"/>
      <c r="E12" s="75"/>
      <c r="F12" s="66"/>
      <c r="G12" s="66"/>
      <c r="H12" s="66"/>
      <c r="I12" s="66"/>
      <c r="J12" s="67"/>
      <c r="K12" s="67"/>
      <c r="L12" s="68"/>
      <c r="M12" s="68">
        <f>U11</f>
        <v>32976000</v>
      </c>
      <c r="N12" s="68">
        <f>V11</f>
        <v>16030000</v>
      </c>
      <c r="O12" s="68">
        <f>W11</f>
        <v>16030000</v>
      </c>
      <c r="P12" s="69">
        <f t="shared" ref="P12:P17" si="0">M12/O12</f>
        <v>2.0571428571428569</v>
      </c>
      <c r="Q12" s="70"/>
      <c r="R12" s="56">
        <f>O12*J12/$O$218</f>
        <v>0</v>
      </c>
      <c r="U12" s="71">
        <v>9160</v>
      </c>
      <c r="Y12" s="71">
        <v>2009</v>
      </c>
      <c r="Z12" s="71">
        <v>29.73</v>
      </c>
      <c r="AA12" s="71">
        <v>30.35</v>
      </c>
      <c r="AB12" s="71">
        <f>Z12+AA12</f>
        <v>60.08</v>
      </c>
    </row>
    <row r="13" spans="1:28" ht="13.5" customHeight="1">
      <c r="A13" s="89">
        <v>40934</v>
      </c>
      <c r="B13" s="90">
        <v>40938</v>
      </c>
      <c r="C13" s="91" t="s">
        <v>42</v>
      </c>
      <c r="D13" s="92">
        <v>41028</v>
      </c>
      <c r="E13" s="93">
        <v>0</v>
      </c>
      <c r="F13" s="94">
        <v>1.7500000000000002E-2</v>
      </c>
      <c r="G13" s="94">
        <v>2.8961600000000001E-2</v>
      </c>
      <c r="H13" s="94">
        <v>4.6875E-2</v>
      </c>
      <c r="I13" s="94">
        <v>1.7500000000000002E-2</v>
      </c>
      <c r="J13" s="95">
        <v>1.92383E-2</v>
      </c>
      <c r="K13" s="95">
        <v>2.1874999999999999E-2</v>
      </c>
      <c r="L13" s="96">
        <v>7000000</v>
      </c>
      <c r="M13" s="96">
        <v>12480000</v>
      </c>
      <c r="N13" s="96">
        <v>10550000</v>
      </c>
      <c r="O13" s="96">
        <v>800000</v>
      </c>
      <c r="P13" s="97">
        <f t="shared" si="0"/>
        <v>15.6</v>
      </c>
      <c r="Q13" s="98">
        <v>2.75E-2</v>
      </c>
      <c r="R13" s="56"/>
      <c r="S13" s="57">
        <f>O13*J13/$R$10</f>
        <v>15771088.494281758</v>
      </c>
      <c r="T13" s="57"/>
      <c r="Y13" s="2">
        <v>2010</v>
      </c>
      <c r="Z13" s="2">
        <v>34.630000000000003</v>
      </c>
      <c r="AA13" s="2">
        <v>35.58</v>
      </c>
      <c r="AB13" s="71">
        <f>Z13+AA13</f>
        <v>70.210000000000008</v>
      </c>
    </row>
    <row r="14" spans="1:28" ht="13.5" customHeight="1">
      <c r="A14" s="100"/>
      <c r="B14" s="99"/>
      <c r="C14" s="91" t="s">
        <v>37</v>
      </c>
      <c r="D14" s="92">
        <v>41285</v>
      </c>
      <c r="E14" s="93">
        <v>0</v>
      </c>
      <c r="F14" s="94">
        <v>3.3750000000000002E-2</v>
      </c>
      <c r="G14" s="94">
        <v>3.8882899999999998E-2</v>
      </c>
      <c r="H14" s="94">
        <v>4.2500000000000003E-2</v>
      </c>
      <c r="I14" s="94">
        <v>3.3750000000000002E-2</v>
      </c>
      <c r="J14" s="95">
        <v>3.3750000000000002E-2</v>
      </c>
      <c r="K14" s="95">
        <v>3.3750000000000002E-2</v>
      </c>
      <c r="L14" s="96"/>
      <c r="M14" s="96">
        <v>12295000</v>
      </c>
      <c r="N14" s="96">
        <v>2000000</v>
      </c>
      <c r="O14" s="96">
        <v>1000000</v>
      </c>
      <c r="P14" s="97">
        <f t="shared" si="0"/>
        <v>12.295</v>
      </c>
      <c r="Q14" s="98">
        <v>3.5000000000000003E-2</v>
      </c>
      <c r="R14" s="56"/>
      <c r="S14" s="57"/>
      <c r="T14" s="57"/>
      <c r="Y14" s="71">
        <v>2011</v>
      </c>
      <c r="Z14" s="2">
        <v>29.53</v>
      </c>
      <c r="AA14" s="2">
        <v>25.94</v>
      </c>
      <c r="AB14" s="71">
        <f>Z14+AA14</f>
        <v>55.47</v>
      </c>
    </row>
    <row r="15" spans="1:28" ht="13.5" customHeight="1">
      <c r="A15" s="100"/>
      <c r="B15" s="101"/>
      <c r="C15" s="91" t="s">
        <v>35</v>
      </c>
      <c r="D15" s="92">
        <v>44696</v>
      </c>
      <c r="E15" s="94">
        <v>7.0000000000000007E-2</v>
      </c>
      <c r="F15" s="94">
        <v>5.5E-2</v>
      </c>
      <c r="G15" s="94">
        <v>5.6320200000000001E-2</v>
      </c>
      <c r="H15" s="94">
        <v>5.7500000000000002E-2</v>
      </c>
      <c r="I15" s="94">
        <v>5.5E-2</v>
      </c>
      <c r="J15" s="95">
        <v>5.5782100000000001E-2</v>
      </c>
      <c r="K15" s="95">
        <v>5.5937500000000001E-2</v>
      </c>
      <c r="L15" s="96"/>
      <c r="M15" s="96">
        <v>6109000</v>
      </c>
      <c r="N15" s="96">
        <v>3600000</v>
      </c>
      <c r="O15" s="96">
        <v>2100000</v>
      </c>
      <c r="P15" s="97">
        <f t="shared" si="0"/>
        <v>2.9090476190476191</v>
      </c>
      <c r="Q15" s="98">
        <v>5.6000000000000001E-2</v>
      </c>
      <c r="R15" s="56">
        <f>O15*J15/$O$218</f>
        <v>4.3620683059032256E-4</v>
      </c>
      <c r="S15" s="57">
        <f>O15*J15/$R$10</f>
        <v>120038108.52202614</v>
      </c>
      <c r="T15" s="57"/>
      <c r="Y15" s="2">
        <v>2012</v>
      </c>
      <c r="AB15" s="2">
        <v>62.76</v>
      </c>
    </row>
    <row r="16" spans="1:28" ht="13.5" customHeight="1">
      <c r="A16" s="100"/>
      <c r="B16" s="101"/>
      <c r="C16" s="91" t="s">
        <v>43</v>
      </c>
      <c r="D16" s="92">
        <v>46522</v>
      </c>
      <c r="E16" s="94">
        <v>7.0000000000000007E-2</v>
      </c>
      <c r="F16" s="94">
        <v>6.1249999999999999E-2</v>
      </c>
      <c r="G16" s="94">
        <v>6.2487399999999999E-2</v>
      </c>
      <c r="H16" s="94">
        <v>6.4687499999999995E-2</v>
      </c>
      <c r="I16" s="94">
        <v>6.1249999999999999E-2</v>
      </c>
      <c r="J16" s="95">
        <v>6.1973399999999998E-2</v>
      </c>
      <c r="K16" s="95">
        <v>6.25E-2</v>
      </c>
      <c r="L16" s="96"/>
      <c r="M16" s="96">
        <v>7421000</v>
      </c>
      <c r="N16" s="96">
        <v>3550000</v>
      </c>
      <c r="O16" s="96">
        <v>3400000</v>
      </c>
      <c r="P16" s="97">
        <f t="shared" si="0"/>
        <v>2.1826470588235294</v>
      </c>
      <c r="Q16" s="98">
        <v>6.2E-2</v>
      </c>
      <c r="R16" s="56">
        <f>O16*J16/$O$218</f>
        <v>7.8462573326501821E-4</v>
      </c>
      <c r="S16" s="57">
        <f>O16*J16/$R$10</f>
        <v>215918189.06498832</v>
      </c>
      <c r="T16" s="57"/>
      <c r="Y16" s="71">
        <v>2013</v>
      </c>
      <c r="AB16" s="2">
        <f>AVERAGE(AB12:AB15)</f>
        <v>62.13</v>
      </c>
    </row>
    <row r="17" spans="1:20" ht="13.5" customHeight="1">
      <c r="A17" s="100"/>
      <c r="B17" s="101"/>
      <c r="C17" s="91" t="s">
        <v>32</v>
      </c>
      <c r="D17" s="92">
        <v>48380</v>
      </c>
      <c r="E17" s="94">
        <v>8.2500000000000004E-2</v>
      </c>
      <c r="F17" s="94">
        <v>5.7500000000000002E-2</v>
      </c>
      <c r="G17" s="94">
        <v>6.7082199999999995E-2</v>
      </c>
      <c r="H17" s="94">
        <v>6.8750000000000006E-2</v>
      </c>
      <c r="I17" s="94">
        <v>5.7500000000000002E-2</v>
      </c>
      <c r="J17" s="95">
        <v>6.64907E-2</v>
      </c>
      <c r="K17" s="95">
        <v>6.6562499999999997E-2</v>
      </c>
      <c r="L17" s="96"/>
      <c r="M17" s="96">
        <v>11829500</v>
      </c>
      <c r="N17" s="96">
        <v>5300000</v>
      </c>
      <c r="O17" s="96">
        <v>3200000</v>
      </c>
      <c r="P17" s="97">
        <f t="shared" si="0"/>
        <v>3.6967187500000001</v>
      </c>
      <c r="Q17" s="98">
        <v>6.6600000000000006E-2</v>
      </c>
      <c r="R17" s="56">
        <f>O17*J17/$O$218</f>
        <v>7.9229915138626799E-4</v>
      </c>
      <c r="S17" s="57">
        <f>O17*J17/$R$10</f>
        <v>218029807.98651439</v>
      </c>
      <c r="T17" s="62">
        <f>SUM(S13:S17)</f>
        <v>569757194.06781054</v>
      </c>
    </row>
    <row r="18" spans="1:20" ht="13.5" customHeight="1">
      <c r="A18" s="60">
        <v>40939</v>
      </c>
      <c r="B18" s="61">
        <v>40941</v>
      </c>
      <c r="C18" s="18" t="s">
        <v>48</v>
      </c>
      <c r="D18" s="19">
        <v>43115</v>
      </c>
      <c r="E18" s="50">
        <v>0</v>
      </c>
      <c r="F18" s="27">
        <v>5.1874999999999998E-2</v>
      </c>
      <c r="G18" s="27"/>
      <c r="H18" s="27">
        <v>6.6250000000000003E-2</v>
      </c>
      <c r="I18" s="27"/>
      <c r="J18" s="28"/>
      <c r="K18" s="28"/>
      <c r="L18" s="22">
        <v>1000000</v>
      </c>
      <c r="M18" s="22">
        <v>573000</v>
      </c>
      <c r="N18" s="22"/>
      <c r="O18" s="22"/>
      <c r="P18" s="46"/>
      <c r="Q18" s="56"/>
      <c r="R18" s="56"/>
      <c r="S18" s="57">
        <f>O18*J18/$R$10</f>
        <v>0</v>
      </c>
      <c r="T18" s="57"/>
    </row>
    <row r="19" spans="1:20" ht="13.5" customHeight="1">
      <c r="A19" s="60"/>
      <c r="B19" s="88"/>
      <c r="C19" s="18" t="s">
        <v>49</v>
      </c>
      <c r="D19" s="19">
        <v>44576</v>
      </c>
      <c r="E19" s="50"/>
      <c r="F19" s="27">
        <v>5.5E-2</v>
      </c>
      <c r="G19" s="27"/>
      <c r="H19" s="27">
        <v>6.5000000000000002E-2</v>
      </c>
      <c r="I19" s="27">
        <v>5.5E-2</v>
      </c>
      <c r="J19" s="28">
        <v>5.5379499999999998E-2</v>
      </c>
      <c r="K19" s="28"/>
      <c r="L19" s="22"/>
      <c r="M19" s="22">
        <v>536000</v>
      </c>
      <c r="N19" s="22">
        <v>415000</v>
      </c>
      <c r="O19" s="22">
        <v>415000</v>
      </c>
      <c r="P19" s="46">
        <f t="shared" ref="P19:P26" si="1">M19/O19</f>
        <v>1.2915662650602409</v>
      </c>
      <c r="Q19" s="56"/>
      <c r="R19" s="56"/>
      <c r="S19" s="57"/>
      <c r="T19" s="57"/>
    </row>
    <row r="20" spans="1:20" ht="13.5" customHeight="1">
      <c r="A20" s="16"/>
      <c r="B20" s="17"/>
      <c r="C20" s="18" t="s">
        <v>50</v>
      </c>
      <c r="D20" s="19">
        <v>46402</v>
      </c>
      <c r="E20" s="27"/>
      <c r="F20" s="27">
        <v>6.0624999999999998E-2</v>
      </c>
      <c r="G20" s="27"/>
      <c r="H20" s="27">
        <v>7.0624999999999993E-2</v>
      </c>
      <c r="I20" s="27">
        <v>6.0624999999999998E-2</v>
      </c>
      <c r="J20" s="28">
        <v>6.2141200000000001E-2</v>
      </c>
      <c r="K20" s="28"/>
      <c r="L20" s="22"/>
      <c r="M20" s="22">
        <v>1391000</v>
      </c>
      <c r="N20" s="22">
        <v>510000</v>
      </c>
      <c r="O20" s="22">
        <v>510000</v>
      </c>
      <c r="P20" s="46">
        <f t="shared" si="1"/>
        <v>2.7274509803921569</v>
      </c>
      <c r="Q20" s="56"/>
      <c r="R20" s="56">
        <f>O20*J20/$O$218</f>
        <v>1.1801252944642738E-4</v>
      </c>
      <c r="S20" s="57">
        <f>O20*J20/$R$10</f>
        <v>32475421.802721612</v>
      </c>
      <c r="T20" s="57"/>
    </row>
    <row r="21" spans="1:20" ht="13.5" customHeight="1">
      <c r="A21" s="16"/>
      <c r="B21" s="17"/>
      <c r="C21" s="18" t="s">
        <v>51</v>
      </c>
      <c r="D21" s="19">
        <v>49720</v>
      </c>
      <c r="E21" s="27">
        <v>0.1</v>
      </c>
      <c r="F21" s="27">
        <v>6.5625000000000003E-2</v>
      </c>
      <c r="G21" s="27"/>
      <c r="H21" s="27">
        <v>7.4999999999999997E-2</v>
      </c>
      <c r="I21" s="27">
        <v>6.5625000000000003E-2</v>
      </c>
      <c r="J21" s="28">
        <v>6.8074800000000005E-2</v>
      </c>
      <c r="K21" s="28"/>
      <c r="L21" s="22"/>
      <c r="M21" s="22">
        <v>1676000</v>
      </c>
      <c r="N21" s="22">
        <v>400000</v>
      </c>
      <c r="O21" s="22">
        <v>400000</v>
      </c>
      <c r="P21" s="46">
        <f t="shared" si="1"/>
        <v>4.1900000000000004</v>
      </c>
      <c r="Q21" s="56"/>
      <c r="R21" s="56">
        <f>O21*J21/$O$218</f>
        <v>1.0139689887230455E-4</v>
      </c>
      <c r="S21" s="57">
        <f>O21*J21/$R$10</f>
        <v>27903029.244541667</v>
      </c>
      <c r="T21" s="57"/>
    </row>
    <row r="22" spans="1:20" ht="13.5" customHeight="1">
      <c r="A22" s="89">
        <v>40946</v>
      </c>
      <c r="B22" s="90">
        <v>40948</v>
      </c>
      <c r="C22" s="91" t="s">
        <v>45</v>
      </c>
      <c r="D22" s="92">
        <v>41037</v>
      </c>
      <c r="E22" s="93">
        <v>0</v>
      </c>
      <c r="F22" s="94">
        <v>1.4999999999999999E-2</v>
      </c>
      <c r="G22" s="94">
        <v>1.99528E-2</v>
      </c>
      <c r="H22" s="94">
        <v>3.2500000000000001E-2</v>
      </c>
      <c r="I22" s="94">
        <v>1.4999999999999999E-2</v>
      </c>
      <c r="J22" s="95">
        <v>1.6862499999999999E-2</v>
      </c>
      <c r="K22" s="95">
        <v>1.90625E-2</v>
      </c>
      <c r="L22" s="96">
        <v>8000000</v>
      </c>
      <c r="M22" s="96">
        <v>4535000</v>
      </c>
      <c r="N22" s="96">
        <v>4535000</v>
      </c>
      <c r="O22" s="96">
        <v>1000000</v>
      </c>
      <c r="P22" s="97">
        <f t="shared" si="1"/>
        <v>4.5350000000000001</v>
      </c>
      <c r="Q22" s="98">
        <v>0.02</v>
      </c>
      <c r="R22" s="56"/>
      <c r="S22" s="57">
        <f>O22*J22/$R$10</f>
        <v>17279332.09631478</v>
      </c>
      <c r="T22" s="57"/>
    </row>
    <row r="23" spans="1:20" ht="13.5" customHeight="1">
      <c r="A23" s="100"/>
      <c r="B23" s="99"/>
      <c r="C23" s="91" t="s">
        <v>46</v>
      </c>
      <c r="D23" s="92">
        <v>41313</v>
      </c>
      <c r="E23" s="93">
        <v>0</v>
      </c>
      <c r="F23" s="94">
        <v>0.03</v>
      </c>
      <c r="G23" s="94">
        <v>3.3719499999999999E-2</v>
      </c>
      <c r="H23" s="94">
        <v>4.4374999999999998E-2</v>
      </c>
      <c r="I23" s="94">
        <v>0.03</v>
      </c>
      <c r="J23" s="95">
        <v>3.0232100000000001E-2</v>
      </c>
      <c r="K23" s="95">
        <v>3.125E-2</v>
      </c>
      <c r="L23" s="96"/>
      <c r="M23" s="96">
        <v>6075000</v>
      </c>
      <c r="N23" s="96">
        <v>6075000</v>
      </c>
      <c r="O23" s="96">
        <v>1000000</v>
      </c>
      <c r="P23" s="97">
        <f t="shared" si="1"/>
        <v>6.0750000000000002</v>
      </c>
      <c r="Q23" s="98">
        <v>3.5000000000000003E-2</v>
      </c>
      <c r="R23" s="56"/>
      <c r="S23" s="57"/>
      <c r="T23" s="57"/>
    </row>
    <row r="24" spans="1:20" ht="13.5" customHeight="1">
      <c r="A24" s="100"/>
      <c r="B24" s="101"/>
      <c r="C24" s="91" t="s">
        <v>43</v>
      </c>
      <c r="D24" s="92">
        <v>46522</v>
      </c>
      <c r="E24" s="94">
        <v>7.0000000000000007E-2</v>
      </c>
      <c r="F24" s="94">
        <v>5.6562500000000002E-2</v>
      </c>
      <c r="G24" s="94">
        <v>5.7902200000000001E-2</v>
      </c>
      <c r="H24" s="94">
        <v>5.9062499999999997E-2</v>
      </c>
      <c r="I24" s="94">
        <v>5.6562500000000002E-2</v>
      </c>
      <c r="J24" s="95">
        <v>5.7464300000000003E-2</v>
      </c>
      <c r="K24" s="95">
        <v>5.7500000000000002E-2</v>
      </c>
      <c r="L24" s="96"/>
      <c r="M24" s="96">
        <v>8177000</v>
      </c>
      <c r="N24" s="96">
        <v>4100000</v>
      </c>
      <c r="O24" s="96">
        <v>3450000</v>
      </c>
      <c r="P24" s="97">
        <f t="shared" si="1"/>
        <v>2.3701449275362321</v>
      </c>
      <c r="Q24" s="98">
        <v>5.7500000000000002E-2</v>
      </c>
      <c r="R24" s="56">
        <f>O24*J24/$O$24</f>
        <v>5.7464300000000003E-2</v>
      </c>
      <c r="S24" s="57">
        <f>O24*J24/$R$10</f>
        <v>203152515.68087783</v>
      </c>
      <c r="T24" s="57"/>
    </row>
    <row r="25" spans="1:20" ht="13.5" customHeight="1">
      <c r="A25" s="100"/>
      <c r="B25" s="101"/>
      <c r="C25" s="91" t="s">
        <v>32</v>
      </c>
      <c r="D25" s="92">
        <v>48380</v>
      </c>
      <c r="E25" s="94">
        <v>8.2500000000000004E-2</v>
      </c>
      <c r="F25" s="94">
        <v>6.1249999999999999E-2</v>
      </c>
      <c r="G25" s="94">
        <v>6.2410500000000001E-2</v>
      </c>
      <c r="H25" s="94">
        <v>6.4687499999999995E-2</v>
      </c>
      <c r="I25" s="94">
        <v>6.1249999999999999E-2</v>
      </c>
      <c r="J25" s="95">
        <v>6.1781299999999997E-2</v>
      </c>
      <c r="K25" s="95">
        <v>6.1874999999999999E-2</v>
      </c>
      <c r="L25" s="96"/>
      <c r="M25" s="96">
        <v>9233500</v>
      </c>
      <c r="N25" s="96">
        <v>7350000</v>
      </c>
      <c r="O25" s="96">
        <v>2000000</v>
      </c>
      <c r="P25" s="97">
        <f t="shared" si="1"/>
        <v>4.6167499999999997</v>
      </c>
      <c r="Q25" s="98">
        <v>6.2199999999999998E-2</v>
      </c>
      <c r="R25" s="56">
        <f>O25*J25/$O$24</f>
        <v>3.5815246376811591E-2</v>
      </c>
      <c r="S25" s="57">
        <f>O25*J25/$R$10</f>
        <v>126617002.2288572</v>
      </c>
      <c r="T25" s="57"/>
    </row>
    <row r="26" spans="1:20" ht="13.5" customHeight="1">
      <c r="A26" s="100"/>
      <c r="B26" s="101"/>
      <c r="C26" s="91" t="s">
        <v>47</v>
      </c>
      <c r="D26" s="92">
        <v>51971</v>
      </c>
      <c r="E26" s="94">
        <v>6.3750000000000001E-2</v>
      </c>
      <c r="F26" s="94">
        <v>6.3125000000000001E-2</v>
      </c>
      <c r="G26" s="94">
        <v>6.5730700000000003E-2</v>
      </c>
      <c r="H26" s="94">
        <v>7.0000000000000007E-2</v>
      </c>
      <c r="I26" s="94">
        <v>6.3125000000000001E-2</v>
      </c>
      <c r="J26" s="95">
        <v>6.4899399999999996E-2</v>
      </c>
      <c r="K26" s="95">
        <v>6.5000000000000002E-2</v>
      </c>
      <c r="L26" s="96"/>
      <c r="M26" s="96">
        <v>14362500</v>
      </c>
      <c r="N26" s="96">
        <v>6000000</v>
      </c>
      <c r="O26" s="96">
        <v>4550000</v>
      </c>
      <c r="P26" s="97">
        <f t="shared" si="1"/>
        <v>3.1565934065934065</v>
      </c>
      <c r="Q26" s="98">
        <v>6.5000000000000002E-2</v>
      </c>
      <c r="R26" s="56">
        <f>O26*J26/$O$24</f>
        <v>8.5591962318840573E-2</v>
      </c>
      <c r="S26" s="57">
        <f>O26*J26/$R$10</f>
        <v>302591738.99508673</v>
      </c>
      <c r="T26" s="62">
        <f>SUM(S22:S26)</f>
        <v>649640589.00113654</v>
      </c>
    </row>
    <row r="27" spans="1:20" ht="13.5" customHeight="1">
      <c r="A27" s="60">
        <v>40953</v>
      </c>
      <c r="B27" s="61">
        <v>40955</v>
      </c>
      <c r="C27" s="18" t="s">
        <v>52</v>
      </c>
      <c r="D27" s="19"/>
      <c r="E27" s="50">
        <v>0</v>
      </c>
      <c r="F27" s="27">
        <v>3.7187499999999998E-2</v>
      </c>
      <c r="G27" s="27"/>
      <c r="H27" s="27">
        <v>4.2500000000000003E-2</v>
      </c>
      <c r="I27" s="27"/>
      <c r="J27" s="28"/>
      <c r="K27" s="28"/>
      <c r="L27" s="22">
        <v>1000000</v>
      </c>
      <c r="M27" s="22">
        <v>2331000</v>
      </c>
      <c r="N27" s="22"/>
      <c r="O27" s="22"/>
      <c r="P27" s="46"/>
      <c r="Q27" s="56"/>
      <c r="R27" s="56"/>
      <c r="S27" s="57">
        <f>O27*J27/$R$10</f>
        <v>0</v>
      </c>
      <c r="T27" s="57"/>
    </row>
    <row r="28" spans="1:20" ht="13.5" customHeight="1">
      <c r="A28" s="60"/>
      <c r="B28" s="88"/>
      <c r="C28" s="18" t="s">
        <v>48</v>
      </c>
      <c r="D28" s="19">
        <v>43146</v>
      </c>
      <c r="E28" s="103">
        <v>4.4499999999999998E-2</v>
      </c>
      <c r="F28" s="27">
        <v>4.71875E-2</v>
      </c>
      <c r="G28" s="27"/>
      <c r="H28" s="27">
        <v>4.65625E-2</v>
      </c>
      <c r="I28" s="27">
        <v>4.71875E-2</v>
      </c>
      <c r="J28" s="27">
        <v>4.71875E-2</v>
      </c>
      <c r="K28" s="28"/>
      <c r="L28" s="22"/>
      <c r="M28" s="22">
        <v>246000</v>
      </c>
      <c r="N28" s="22">
        <v>25000</v>
      </c>
      <c r="O28" s="22">
        <v>25000</v>
      </c>
      <c r="P28" s="46">
        <f t="shared" ref="P28:P37" si="2">M28/O28</f>
        <v>9.84</v>
      </c>
      <c r="Q28" s="56"/>
      <c r="R28" s="56"/>
      <c r="S28" s="57"/>
      <c r="T28" s="57"/>
    </row>
    <row r="29" spans="1:20" ht="13.5" customHeight="1">
      <c r="A29" s="16"/>
      <c r="B29" s="17"/>
      <c r="C29" s="18" t="s">
        <v>49</v>
      </c>
      <c r="D29" s="19">
        <v>44576</v>
      </c>
      <c r="E29" s="50"/>
      <c r="F29" s="27">
        <v>5.3124999999999999E-2</v>
      </c>
      <c r="G29" s="27"/>
      <c r="H29" s="27">
        <v>5.7500000000000002E-2</v>
      </c>
      <c r="I29" s="27"/>
      <c r="J29" s="28"/>
      <c r="K29" s="28"/>
      <c r="L29" s="22"/>
      <c r="M29" s="22">
        <v>219000</v>
      </c>
      <c r="N29" s="22"/>
      <c r="O29" s="22"/>
      <c r="P29" s="46"/>
      <c r="Q29" s="56"/>
      <c r="R29" s="56">
        <f>O29*J29/$O$218</f>
        <v>0</v>
      </c>
      <c r="S29" s="57">
        <f>O29*J29/$R$10</f>
        <v>0</v>
      </c>
      <c r="T29" s="57"/>
    </row>
    <row r="30" spans="1:20" ht="13.5" customHeight="1">
      <c r="A30" s="16"/>
      <c r="B30" s="17"/>
      <c r="C30" s="18" t="s">
        <v>50</v>
      </c>
      <c r="D30" s="19">
        <v>46402</v>
      </c>
      <c r="E30" s="27">
        <v>0.06</v>
      </c>
      <c r="F30" s="27">
        <v>5.7187500000000002E-2</v>
      </c>
      <c r="G30" s="27"/>
      <c r="H30" s="27">
        <v>6.3125000000000001E-2</v>
      </c>
      <c r="I30" s="27">
        <v>5.7187500000000002E-2</v>
      </c>
      <c r="J30" s="28">
        <v>5.7500000000000002E-2</v>
      </c>
      <c r="K30" s="28"/>
      <c r="L30" s="22"/>
      <c r="M30" s="22">
        <v>476000</v>
      </c>
      <c r="N30" s="22">
        <v>100000</v>
      </c>
      <c r="O30" s="22">
        <v>100000</v>
      </c>
      <c r="P30" s="46">
        <f t="shared" si="2"/>
        <v>4.76</v>
      </c>
      <c r="Q30" s="56"/>
      <c r="R30" s="56"/>
      <c r="S30" s="57"/>
      <c r="T30" s="57"/>
    </row>
    <row r="31" spans="1:20" ht="13.5" customHeight="1">
      <c r="A31" s="16"/>
      <c r="B31" s="17"/>
      <c r="C31" s="18" t="s">
        <v>53</v>
      </c>
      <c r="D31" s="19">
        <v>50086</v>
      </c>
      <c r="E31" s="27">
        <v>6.0999999999999999E-2</v>
      </c>
      <c r="F31" s="27">
        <v>6.1562499999999999E-2</v>
      </c>
      <c r="G31" s="27"/>
      <c r="H31" s="27">
        <v>7.0000000000000007E-2</v>
      </c>
      <c r="I31" s="27">
        <v>6.1562499999999999E-2</v>
      </c>
      <c r="J31" s="28">
        <v>6.2482999999999997E-2</v>
      </c>
      <c r="K31" s="28"/>
      <c r="L31" s="22"/>
      <c r="M31" s="22">
        <v>3784000</v>
      </c>
      <c r="N31" s="22">
        <v>2050000</v>
      </c>
      <c r="O31" s="22">
        <v>2050000</v>
      </c>
      <c r="P31" s="46">
        <f t="shared" si="2"/>
        <v>1.8458536585365855</v>
      </c>
      <c r="Q31" s="56"/>
      <c r="R31" s="56">
        <f>O31*J31/$O$218</f>
        <v>4.7697327006793698E-4</v>
      </c>
      <c r="S31" s="57">
        <f>O31*J31/$R$10</f>
        <v>131256470.87423423</v>
      </c>
      <c r="T31" s="57"/>
    </row>
    <row r="32" spans="1:20" ht="13.5" customHeight="1">
      <c r="A32" s="89">
        <v>40960</v>
      </c>
      <c r="B32" s="90">
        <v>40962</v>
      </c>
      <c r="C32" s="91" t="s">
        <v>54</v>
      </c>
      <c r="D32" s="92">
        <v>41051</v>
      </c>
      <c r="E32" s="93">
        <v>0</v>
      </c>
      <c r="F32" s="94">
        <v>2.0937500000000001E-2</v>
      </c>
      <c r="G32" s="94">
        <v>2.6657799999999999E-2</v>
      </c>
      <c r="H32" s="94">
        <v>3.5000000000000003E-2</v>
      </c>
      <c r="I32" s="94">
        <v>2.0937500000000001E-2</v>
      </c>
      <c r="J32" s="95">
        <v>2.2009399999999998E-2</v>
      </c>
      <c r="K32" s="95">
        <v>2.3125E-2</v>
      </c>
      <c r="L32" s="96">
        <v>8000000</v>
      </c>
      <c r="M32" s="96">
        <v>2360000</v>
      </c>
      <c r="N32" s="96">
        <v>1200000</v>
      </c>
      <c r="O32" s="96">
        <v>1000000</v>
      </c>
      <c r="P32" s="97">
        <f t="shared" si="2"/>
        <v>2.36</v>
      </c>
      <c r="Q32" s="98">
        <v>2.2599999999999999E-2</v>
      </c>
      <c r="R32" s="56"/>
      <c r="S32" s="57">
        <f>O32*J32/$R$10</f>
        <v>22553460.746664524</v>
      </c>
      <c r="T32" s="57"/>
    </row>
    <row r="33" spans="1:20" ht="13.5" customHeight="1">
      <c r="A33" s="100"/>
      <c r="B33" s="99"/>
      <c r="C33" s="91" t="s">
        <v>55</v>
      </c>
      <c r="D33" s="92">
        <v>41285</v>
      </c>
      <c r="E33" s="93">
        <v>0</v>
      </c>
      <c r="F33" s="94">
        <v>3.125E-2</v>
      </c>
      <c r="G33" s="94">
        <v>3.5607899999999998E-2</v>
      </c>
      <c r="H33" s="94">
        <v>0.04</v>
      </c>
      <c r="I33" s="94">
        <v>3.125E-2</v>
      </c>
      <c r="J33" s="95">
        <v>3.31667E-2</v>
      </c>
      <c r="K33" s="95">
        <v>3.3750000000000002E-2</v>
      </c>
      <c r="L33" s="96"/>
      <c r="M33" s="96">
        <v>3380000</v>
      </c>
      <c r="N33" s="96">
        <v>750000</v>
      </c>
      <c r="O33" s="96">
        <v>750000</v>
      </c>
      <c r="P33" s="97">
        <f t="shared" si="2"/>
        <v>4.5066666666666668</v>
      </c>
      <c r="Q33" s="98">
        <v>3.32E-2</v>
      </c>
      <c r="R33" s="56"/>
      <c r="S33" s="57"/>
      <c r="T33" s="57"/>
    </row>
    <row r="34" spans="1:20" ht="13.5" customHeight="1">
      <c r="A34" s="100"/>
      <c r="B34" s="101"/>
      <c r="C34" s="91" t="s">
        <v>35</v>
      </c>
      <c r="D34" s="92">
        <v>44696</v>
      </c>
      <c r="E34" s="94">
        <v>7.0000000000000007E-2</v>
      </c>
      <c r="F34" s="94">
        <v>5.1562499999999997E-2</v>
      </c>
      <c r="G34" s="94">
        <v>5.2656099999999997E-2</v>
      </c>
      <c r="H34" s="94">
        <v>5.3749999999999999E-2</v>
      </c>
      <c r="I34" s="94">
        <v>5.1562499999999997E-2</v>
      </c>
      <c r="J34" s="95">
        <v>5.2357800000000003E-2</v>
      </c>
      <c r="K34" s="95">
        <v>5.2499999999999998E-2</v>
      </c>
      <c r="L34" s="96"/>
      <c r="M34" s="96">
        <v>4294000</v>
      </c>
      <c r="N34" s="96">
        <v>2150000</v>
      </c>
      <c r="O34" s="96">
        <v>1950000</v>
      </c>
      <c r="P34" s="97">
        <f t="shared" si="2"/>
        <v>2.2020512820512819</v>
      </c>
      <c r="Q34" s="98">
        <v>5.2400000000000002E-2</v>
      </c>
      <c r="R34" s="56" t="e">
        <f>O34*J34/$O$29</f>
        <v>#DIV/0!</v>
      </c>
      <c r="S34" s="57">
        <f>O34*J34/$R$10</f>
        <v>104621511.48188221</v>
      </c>
      <c r="T34" s="57"/>
    </row>
    <row r="35" spans="1:20" ht="13.5" customHeight="1">
      <c r="A35" s="100"/>
      <c r="B35" s="101"/>
      <c r="C35" s="91" t="s">
        <v>32</v>
      </c>
      <c r="D35" s="92">
        <v>48380</v>
      </c>
      <c r="E35" s="94">
        <v>8.2500000000000004E-2</v>
      </c>
      <c r="F35" s="94">
        <v>6.0624999999999998E-2</v>
      </c>
      <c r="G35" s="94">
        <v>6.1441099999999998E-2</v>
      </c>
      <c r="H35" s="94">
        <v>6.25E-2</v>
      </c>
      <c r="I35" s="94">
        <v>6.0624999999999998E-2</v>
      </c>
      <c r="J35" s="95">
        <v>6.09974E-2</v>
      </c>
      <c r="K35" s="95">
        <v>6.1249999999999999E-2</v>
      </c>
      <c r="L35" s="96"/>
      <c r="M35" s="96">
        <v>5631000</v>
      </c>
      <c r="N35" s="96">
        <v>2600000</v>
      </c>
      <c r="O35" s="96">
        <v>2600000</v>
      </c>
      <c r="P35" s="97">
        <f t="shared" si="2"/>
        <v>2.1657692307692309</v>
      </c>
      <c r="Q35" s="98">
        <v>6.0999999999999999E-2</v>
      </c>
      <c r="R35" s="56" t="e">
        <f>O35*J35/$O$29</f>
        <v>#DIV/0!</v>
      </c>
      <c r="S35" s="57">
        <f>O35*J35/$R$10</f>
        <v>162513581.15288678</v>
      </c>
      <c r="T35" s="57"/>
    </row>
    <row r="36" spans="1:20" ht="13.5" customHeight="1">
      <c r="A36" s="100"/>
      <c r="B36" s="101"/>
      <c r="C36" s="91" t="s">
        <v>47</v>
      </c>
      <c r="D36" s="92">
        <v>51971</v>
      </c>
      <c r="E36" s="94">
        <v>6.3750000000000001E-2</v>
      </c>
      <c r="F36" s="94">
        <v>6.0937499999999999E-2</v>
      </c>
      <c r="G36" s="94">
        <v>6.2096600000000002E-2</v>
      </c>
      <c r="H36" s="94">
        <v>6.5000000000000002E-2</v>
      </c>
      <c r="I36" s="94">
        <v>6.0937499999999999E-2</v>
      </c>
      <c r="J36" s="95">
        <v>6.1901900000000003E-2</v>
      </c>
      <c r="K36" s="95">
        <v>6.25E-2</v>
      </c>
      <c r="L36" s="96"/>
      <c r="M36" s="96">
        <v>6600500</v>
      </c>
      <c r="N36" s="96">
        <v>6350000</v>
      </c>
      <c r="O36" s="96">
        <v>5700000</v>
      </c>
      <c r="P36" s="97">
        <f t="shared" si="2"/>
        <v>1.1579824561403509</v>
      </c>
      <c r="Q36" s="98">
        <v>6.2E-2</v>
      </c>
      <c r="R36" s="56" t="e">
        <f>O36*J36/$O$29</f>
        <v>#DIV/0!</v>
      </c>
      <c r="S36" s="57">
        <f>O36*J36/$R$10</f>
        <v>361562869.01167369</v>
      </c>
      <c r="T36" s="62">
        <f>SUM(S32:S36)</f>
        <v>651251422.39310718</v>
      </c>
    </row>
    <row r="37" spans="1:20" ht="13.5" customHeight="1">
      <c r="A37" s="60">
        <v>40962</v>
      </c>
      <c r="B37" s="61">
        <v>40966</v>
      </c>
      <c r="C37" s="18" t="s">
        <v>48</v>
      </c>
      <c r="D37" s="19">
        <v>43146</v>
      </c>
      <c r="E37" s="104">
        <v>4.4499999999999998E-2</v>
      </c>
      <c r="F37" s="27">
        <v>4.4687499999999998E-2</v>
      </c>
      <c r="G37" s="27"/>
      <c r="H37" s="27">
        <v>0.06</v>
      </c>
      <c r="I37" s="27">
        <v>4.4687499999999998E-2</v>
      </c>
      <c r="J37" s="28">
        <v>4.4687499999999998E-2</v>
      </c>
      <c r="K37" s="28"/>
      <c r="L37" s="22">
        <v>1000000</v>
      </c>
      <c r="M37" s="22">
        <v>246000</v>
      </c>
      <c r="N37" s="22">
        <v>25000</v>
      </c>
      <c r="O37" s="22">
        <v>25000</v>
      </c>
      <c r="P37" s="46">
        <f t="shared" si="2"/>
        <v>9.84</v>
      </c>
      <c r="Q37" s="56"/>
      <c r="R37" s="56"/>
      <c r="S37" s="57">
        <f>O37*J37/$R$10</f>
        <v>1144803.7851061034</v>
      </c>
      <c r="T37" s="57"/>
    </row>
    <row r="38" spans="1:20" ht="13.5" customHeight="1">
      <c r="A38" s="60"/>
      <c r="B38" s="88"/>
      <c r="C38" s="18" t="s">
        <v>49</v>
      </c>
      <c r="D38" s="19">
        <v>44576</v>
      </c>
      <c r="E38" s="104">
        <v>5.45E-2</v>
      </c>
      <c r="F38" s="27">
        <v>5.4375E-2</v>
      </c>
      <c r="G38" s="27"/>
      <c r="H38" s="27">
        <v>6.5000000000000002E-2</v>
      </c>
      <c r="I38" s="27">
        <v>5.4375E-2</v>
      </c>
      <c r="J38" s="27">
        <v>5.5E-2</v>
      </c>
      <c r="K38" s="28"/>
      <c r="L38" s="22"/>
      <c r="M38" s="22">
        <v>196000</v>
      </c>
      <c r="N38" s="22">
        <v>170000</v>
      </c>
      <c r="O38" s="22">
        <v>170000</v>
      </c>
      <c r="P38" s="46">
        <f>M38/O38</f>
        <v>1.1529411764705881</v>
      </c>
      <c r="Q38" s="56"/>
      <c r="R38" s="56"/>
      <c r="S38" s="57"/>
      <c r="T38" s="57"/>
    </row>
    <row r="39" spans="1:20" ht="13.5" customHeight="1">
      <c r="A39" s="16"/>
      <c r="B39" s="17"/>
      <c r="C39" s="18" t="s">
        <v>50</v>
      </c>
      <c r="D39" s="19">
        <v>46402</v>
      </c>
      <c r="E39" s="27">
        <v>0.06</v>
      </c>
      <c r="F39" s="27">
        <v>5.7500000000000002E-2</v>
      </c>
      <c r="G39" s="27"/>
      <c r="H39" s="27">
        <v>7.0000000000000007E-2</v>
      </c>
      <c r="I39" s="27">
        <v>5.7500000000000002E-2</v>
      </c>
      <c r="J39" s="28">
        <v>5.7782300000000002E-2</v>
      </c>
      <c r="K39" s="28"/>
      <c r="L39" s="22"/>
      <c r="M39" s="22">
        <v>115000</v>
      </c>
      <c r="N39" s="22">
        <v>77000</v>
      </c>
      <c r="O39" s="22">
        <v>77000</v>
      </c>
      <c r="P39" s="46">
        <f>M39/O39</f>
        <v>1.4935064935064934</v>
      </c>
      <c r="Q39" s="56"/>
      <c r="R39" s="56">
        <f>O39*J39/$O$218</f>
        <v>1.6567762383716351E-5</v>
      </c>
      <c r="S39" s="57">
        <f>O39*J39/$R$10</f>
        <v>4559219.8918395555</v>
      </c>
      <c r="T39" s="57"/>
    </row>
    <row r="40" spans="1:20" ht="13.5" customHeight="1">
      <c r="A40" s="16"/>
      <c r="B40" s="17"/>
      <c r="C40" s="18" t="s">
        <v>53</v>
      </c>
      <c r="D40" s="19">
        <v>50086</v>
      </c>
      <c r="E40" s="27">
        <v>6.0999999999999999E-2</v>
      </c>
      <c r="F40" s="27">
        <v>6.25E-2</v>
      </c>
      <c r="G40" s="27"/>
      <c r="H40" s="27">
        <v>7.2499999999999995E-2</v>
      </c>
      <c r="I40" s="27">
        <v>6.25E-2</v>
      </c>
      <c r="J40" s="28">
        <v>6.2923099999999996E-2</v>
      </c>
      <c r="K40" s="28"/>
      <c r="L40" s="22"/>
      <c r="M40" s="22">
        <v>1569500</v>
      </c>
      <c r="N40" s="22">
        <v>1200000</v>
      </c>
      <c r="O40" s="22">
        <v>1200000</v>
      </c>
      <c r="P40" s="46">
        <f>M40/O40</f>
        <v>1.3079166666666666</v>
      </c>
      <c r="Q40" s="56"/>
      <c r="R40" s="56"/>
      <c r="S40" s="57"/>
      <c r="T40" s="57"/>
    </row>
    <row r="41" spans="1:20" ht="13.5" customHeight="1">
      <c r="A41" s="89">
        <v>40974</v>
      </c>
      <c r="B41" s="90">
        <v>40976</v>
      </c>
      <c r="C41" s="91" t="s">
        <v>56</v>
      </c>
      <c r="D41" s="92">
        <v>41067</v>
      </c>
      <c r="E41" s="93">
        <v>0</v>
      </c>
      <c r="F41" s="94">
        <v>0.03</v>
      </c>
      <c r="G41" s="94">
        <v>3.64967E-2</v>
      </c>
      <c r="H41" s="94">
        <v>4.2500000000000003E-2</v>
      </c>
      <c r="I41" s="94">
        <v>0.03</v>
      </c>
      <c r="J41" s="95">
        <v>0.03</v>
      </c>
      <c r="K41" s="95">
        <v>0.03</v>
      </c>
      <c r="L41" s="96">
        <v>5000000</v>
      </c>
      <c r="M41" s="96">
        <v>1900000</v>
      </c>
      <c r="N41" s="96">
        <v>500000</v>
      </c>
      <c r="O41" s="96">
        <v>500000</v>
      </c>
      <c r="P41" s="97">
        <f>M41/O41</f>
        <v>3.8</v>
      </c>
      <c r="Q41" s="98">
        <v>0.03</v>
      </c>
      <c r="R41" s="56"/>
      <c r="S41" s="57">
        <f>O41*J41/$R$10</f>
        <v>15370792.079746285</v>
      </c>
      <c r="T41" s="57"/>
    </row>
    <row r="42" spans="1:20" ht="13.5" customHeight="1">
      <c r="A42" s="100"/>
      <c r="B42" s="99"/>
      <c r="C42" s="91" t="s">
        <v>57</v>
      </c>
      <c r="D42" s="92">
        <v>41312</v>
      </c>
      <c r="E42" s="93">
        <v>0</v>
      </c>
      <c r="F42" s="94">
        <v>4.0625000000000001E-2</v>
      </c>
      <c r="G42" s="94">
        <v>4.3482100000000003E-2</v>
      </c>
      <c r="H42" s="94">
        <v>4.5624999999999999E-2</v>
      </c>
      <c r="I42" s="94">
        <v>4.0625000000000001E-2</v>
      </c>
      <c r="J42" s="95">
        <v>4.0625000000000001E-2</v>
      </c>
      <c r="K42" s="95">
        <v>4.0625000000000001E-2</v>
      </c>
      <c r="L42" s="96"/>
      <c r="M42" s="96">
        <v>2025000</v>
      </c>
      <c r="N42" s="96">
        <v>1100000</v>
      </c>
      <c r="O42" s="96">
        <v>1100000</v>
      </c>
      <c r="P42" s="97">
        <f>M42/O42</f>
        <v>1.8409090909090908</v>
      </c>
      <c r="Q42" s="98">
        <v>4.07E-2</v>
      </c>
      <c r="R42" s="56"/>
      <c r="S42" s="57"/>
      <c r="T42" s="57"/>
    </row>
    <row r="43" spans="1:20" ht="13.5" customHeight="1">
      <c r="A43" s="100"/>
      <c r="B43" s="101"/>
      <c r="C43" s="91" t="s">
        <v>34</v>
      </c>
      <c r="D43" s="92">
        <v>42840</v>
      </c>
      <c r="E43" s="94">
        <v>6.25E-2</v>
      </c>
      <c r="F43" s="94">
        <v>4.9687500000000002E-2</v>
      </c>
      <c r="G43" s="94">
        <v>5.1496300000000002E-2</v>
      </c>
      <c r="H43" s="94">
        <v>5.5E-2</v>
      </c>
      <c r="I43" s="94">
        <v>0</v>
      </c>
      <c r="J43" s="95">
        <v>0</v>
      </c>
      <c r="K43" s="95">
        <v>0</v>
      </c>
      <c r="L43" s="96"/>
      <c r="M43" s="96">
        <v>2835000</v>
      </c>
      <c r="N43" s="96"/>
      <c r="O43" s="96"/>
      <c r="P43" s="97"/>
      <c r="Q43" s="98">
        <v>4.8500000000000001E-2</v>
      </c>
      <c r="R43" s="56">
        <f>O43*J43/$O$39</f>
        <v>0</v>
      </c>
      <c r="S43" s="57">
        <f>O43*J43/$R$10</f>
        <v>0</v>
      </c>
      <c r="T43" s="57"/>
    </row>
    <row r="44" spans="1:20" s="107" customFormat="1" ht="13.5" customHeight="1">
      <c r="A44" s="100"/>
      <c r="B44" s="101"/>
      <c r="C44" s="91" t="s">
        <v>35</v>
      </c>
      <c r="D44" s="92">
        <v>44696</v>
      </c>
      <c r="E44" s="94">
        <v>7.0000000000000007E-2</v>
      </c>
      <c r="F44" s="94">
        <v>5.7187500000000002E-2</v>
      </c>
      <c r="G44" s="94">
        <v>5.8829600000000003E-2</v>
      </c>
      <c r="H44" s="94">
        <v>6.0937499999999999E-2</v>
      </c>
      <c r="I44" s="94">
        <v>0</v>
      </c>
      <c r="J44" s="95">
        <v>0</v>
      </c>
      <c r="K44" s="95">
        <v>0</v>
      </c>
      <c r="L44" s="96"/>
      <c r="M44" s="96">
        <v>1955000</v>
      </c>
      <c r="N44" s="96"/>
      <c r="O44" s="96"/>
      <c r="P44" s="97"/>
      <c r="Q44" s="98">
        <v>5.5800000000000002E-2</v>
      </c>
      <c r="R44" s="105">
        <f>O44*J44/$O$39</f>
        <v>0</v>
      </c>
      <c r="S44" s="106">
        <f>O44*J44/$R$10</f>
        <v>0</v>
      </c>
      <c r="T44" s="106"/>
    </row>
    <row r="45" spans="1:20" ht="13.5" customHeight="1">
      <c r="A45" s="100"/>
      <c r="B45" s="101"/>
      <c r="C45" s="91" t="s">
        <v>43</v>
      </c>
      <c r="D45" s="92">
        <v>46522</v>
      </c>
      <c r="E45" s="94">
        <v>7.0000000000000007E-2</v>
      </c>
      <c r="F45" s="94">
        <v>6.1874999999999999E-2</v>
      </c>
      <c r="G45" s="94">
        <v>6.2988799999999998E-2</v>
      </c>
      <c r="H45" s="94">
        <v>6.7500000000000004E-2</v>
      </c>
      <c r="I45" s="94">
        <v>0</v>
      </c>
      <c r="J45" s="95">
        <v>0</v>
      </c>
      <c r="K45" s="95">
        <v>0</v>
      </c>
      <c r="L45" s="96"/>
      <c r="M45" s="96">
        <v>1905000</v>
      </c>
      <c r="N45" s="96"/>
      <c r="O45" s="96"/>
      <c r="P45" s="97"/>
      <c r="Q45" s="98">
        <v>6.13E-2</v>
      </c>
      <c r="R45" s="56">
        <f>O45*J45/$O$39</f>
        <v>0</v>
      </c>
      <c r="S45" s="57">
        <f>O45*J45/$R$10</f>
        <v>0</v>
      </c>
      <c r="T45" s="57"/>
    </row>
    <row r="46" spans="1:20" ht="13.5" customHeight="1">
      <c r="A46" s="60">
        <v>40981</v>
      </c>
      <c r="B46" s="61">
        <v>40983</v>
      </c>
      <c r="C46" s="18" t="s">
        <v>59</v>
      </c>
      <c r="D46" s="19">
        <v>41166</v>
      </c>
      <c r="E46" s="50">
        <v>0</v>
      </c>
      <c r="F46" s="27">
        <v>3.7499999999999999E-2</v>
      </c>
      <c r="G46" s="27"/>
      <c r="H46" s="27">
        <v>0.05</v>
      </c>
      <c r="I46" s="27"/>
      <c r="J46" s="28">
        <v>3.7959199999999998E-2</v>
      </c>
      <c r="K46" s="28"/>
      <c r="L46" s="22">
        <v>1000000</v>
      </c>
      <c r="M46" s="22">
        <v>2350000</v>
      </c>
      <c r="N46" s="22">
        <v>280000</v>
      </c>
      <c r="O46" s="22">
        <v>280000</v>
      </c>
      <c r="P46" s="46">
        <f>M46/O46</f>
        <v>8.3928571428571423</v>
      </c>
      <c r="Q46" s="56"/>
      <c r="R46" s="56"/>
      <c r="S46" s="57">
        <f>O46*J46/$R$10</f>
        <v>10891308.786652096</v>
      </c>
      <c r="T46" s="57"/>
    </row>
    <row r="47" spans="1:20" ht="13.5" customHeight="1">
      <c r="A47" s="60"/>
      <c r="B47" s="88"/>
      <c r="C47" s="18" t="s">
        <v>48</v>
      </c>
      <c r="D47" s="19">
        <v>43146</v>
      </c>
      <c r="E47" s="104">
        <v>4.4499999999999998E-2</v>
      </c>
      <c r="F47" s="27">
        <v>5.9687499999999998E-2</v>
      </c>
      <c r="G47" s="27"/>
      <c r="H47" s="27">
        <v>6.5000000000000002E-2</v>
      </c>
      <c r="I47" s="27"/>
      <c r="J47" s="27"/>
      <c r="K47" s="28"/>
      <c r="L47" s="22"/>
      <c r="M47" s="22">
        <v>132000</v>
      </c>
      <c r="N47" s="22"/>
      <c r="O47" s="22"/>
      <c r="P47" s="46"/>
      <c r="Q47" s="56"/>
      <c r="R47" s="56"/>
      <c r="S47" s="57"/>
      <c r="T47" s="57"/>
    </row>
    <row r="48" spans="1:20" ht="13.5" customHeight="1">
      <c r="A48" s="16"/>
      <c r="B48" s="17"/>
      <c r="C48" s="18" t="s">
        <v>49</v>
      </c>
      <c r="D48" s="19">
        <v>44576</v>
      </c>
      <c r="E48" s="104">
        <v>5.45E-2</v>
      </c>
      <c r="F48" s="27">
        <v>6.2812499999999993E-2</v>
      </c>
      <c r="G48" s="27"/>
      <c r="H48" s="27">
        <v>7.0000000000000007E-2</v>
      </c>
      <c r="I48" s="27"/>
      <c r="J48" s="28"/>
      <c r="K48" s="28"/>
      <c r="L48" s="22"/>
      <c r="M48" s="22">
        <v>664000</v>
      </c>
      <c r="N48" s="22"/>
      <c r="O48" s="22"/>
      <c r="P48" s="46"/>
      <c r="Q48" s="56"/>
      <c r="R48" s="56">
        <f>O48*J48/$O$218</f>
        <v>0</v>
      </c>
      <c r="S48" s="57">
        <f>O48*J48/$R$10</f>
        <v>0</v>
      </c>
      <c r="T48" s="57"/>
    </row>
    <row r="49" spans="1:20" ht="13.5" customHeight="1">
      <c r="A49" s="16"/>
      <c r="B49" s="17"/>
      <c r="C49" s="18" t="s">
        <v>50</v>
      </c>
      <c r="D49" s="19">
        <v>46402</v>
      </c>
      <c r="E49" s="27">
        <v>0.06</v>
      </c>
      <c r="F49" s="27">
        <v>6.4687499999999995E-2</v>
      </c>
      <c r="G49" s="27"/>
      <c r="H49" s="27">
        <v>7.4999999999999997E-2</v>
      </c>
      <c r="I49" s="27"/>
      <c r="J49" s="28">
        <v>6.4699999999999994E-2</v>
      </c>
      <c r="K49" s="28"/>
      <c r="L49" s="22"/>
      <c r="M49" s="22">
        <v>1326000</v>
      </c>
      <c r="N49" s="22">
        <v>650000</v>
      </c>
      <c r="O49" s="22">
        <v>650000</v>
      </c>
      <c r="P49" s="46">
        <f t="shared" ref="P49:P55" si="3">M49/O49</f>
        <v>2.04</v>
      </c>
      <c r="Q49" s="56"/>
      <c r="R49" s="56"/>
      <c r="S49" s="57"/>
      <c r="T49" s="57"/>
    </row>
    <row r="50" spans="1:20" ht="13.5" customHeight="1">
      <c r="A50" s="16"/>
      <c r="B50" s="17"/>
      <c r="C50" s="18" t="s">
        <v>53</v>
      </c>
      <c r="D50" s="19">
        <v>50086</v>
      </c>
      <c r="E50" s="27">
        <v>6.0999999999999999E-2</v>
      </c>
      <c r="F50" s="27">
        <v>6.4687499999999995E-2</v>
      </c>
      <c r="G50" s="27"/>
      <c r="H50" s="27">
        <v>7.8750000000000001E-2</v>
      </c>
      <c r="I50" s="27"/>
      <c r="J50" s="28">
        <v>6.8666400000000002E-2</v>
      </c>
      <c r="K50" s="28"/>
      <c r="L50" s="22"/>
      <c r="M50" s="22">
        <v>812000</v>
      </c>
      <c r="N50" s="22">
        <v>730000</v>
      </c>
      <c r="O50" s="22">
        <v>730000</v>
      </c>
      <c r="P50" s="46">
        <f t="shared" si="3"/>
        <v>1.1123287671232878</v>
      </c>
      <c r="Q50" s="56"/>
      <c r="R50" s="56">
        <f>O50*J50/$O$218</f>
        <v>1.8665750072748672E-4</v>
      </c>
      <c r="S50" s="57">
        <f>O50*J50/$R$10</f>
        <v>51365571.920214929</v>
      </c>
      <c r="T50" s="57"/>
    </row>
    <row r="51" spans="1:20" ht="13.5" customHeight="1">
      <c r="A51" s="89">
        <v>40987</v>
      </c>
      <c r="B51" s="90">
        <v>40989</v>
      </c>
      <c r="C51" s="91" t="s">
        <v>60</v>
      </c>
      <c r="D51" s="92">
        <v>42268</v>
      </c>
      <c r="E51" s="94">
        <v>6.25E-2</v>
      </c>
      <c r="F51" s="94"/>
      <c r="G51" s="94"/>
      <c r="H51" s="94"/>
      <c r="I51" s="94"/>
      <c r="J51" s="95">
        <v>6.25E-2</v>
      </c>
      <c r="K51" s="95"/>
      <c r="L51" s="96">
        <v>13000000</v>
      </c>
      <c r="M51" s="96">
        <v>13613805</v>
      </c>
      <c r="N51" s="96">
        <v>13613805</v>
      </c>
      <c r="O51" s="96">
        <v>13613805</v>
      </c>
      <c r="P51" s="97">
        <f t="shared" si="3"/>
        <v>1</v>
      </c>
      <c r="Q51" s="98"/>
      <c r="R51" s="56"/>
      <c r="S51" s="57">
        <f>O51*J51/$R$10</f>
        <v>871895691.9550432</v>
      </c>
      <c r="T51" s="57"/>
    </row>
    <row r="52" spans="1:20" ht="13.5" customHeight="1">
      <c r="A52" s="73">
        <v>40988</v>
      </c>
      <c r="B52" s="73">
        <v>40990</v>
      </c>
      <c r="C52" s="64" t="s">
        <v>58</v>
      </c>
      <c r="D52" s="65">
        <v>41051</v>
      </c>
      <c r="E52" s="75">
        <v>0</v>
      </c>
      <c r="F52" s="66">
        <v>0.03</v>
      </c>
      <c r="G52" s="66">
        <v>3.85104E-2</v>
      </c>
      <c r="H52" s="66">
        <v>4.2500000000000003E-2</v>
      </c>
      <c r="I52" s="66">
        <v>0.03</v>
      </c>
      <c r="J52" s="67">
        <v>3.0800000000000001E-2</v>
      </c>
      <c r="K52" s="67">
        <v>3.1875000000000001E-2</v>
      </c>
      <c r="L52" s="68">
        <v>6000000</v>
      </c>
      <c r="M52" s="68">
        <v>2465000</v>
      </c>
      <c r="N52" s="68">
        <v>250000</v>
      </c>
      <c r="O52" s="68">
        <v>250000</v>
      </c>
      <c r="P52" s="69">
        <f t="shared" si="3"/>
        <v>9.86</v>
      </c>
      <c r="Q52" s="108">
        <v>3.1E-2</v>
      </c>
      <c r="R52" s="56"/>
      <c r="S52" s="57">
        <f>O52*J52/$R$10</f>
        <v>7890339.9342697598</v>
      </c>
      <c r="T52" s="57"/>
    </row>
    <row r="53" spans="1:20" ht="13.5" customHeight="1">
      <c r="A53" s="109"/>
      <c r="B53" s="110"/>
      <c r="C53" s="64" t="s">
        <v>57</v>
      </c>
      <c r="D53" s="65">
        <v>41285</v>
      </c>
      <c r="E53" s="75">
        <v>0</v>
      </c>
      <c r="F53" s="66">
        <v>4.0312500000000001E-2</v>
      </c>
      <c r="G53" s="66">
        <v>4.2195000000000003E-2</v>
      </c>
      <c r="H53" s="66">
        <v>4.4999999999999998E-2</v>
      </c>
      <c r="I53" s="66">
        <v>4.0312500000000001E-2</v>
      </c>
      <c r="J53" s="67">
        <v>4.04167E-2</v>
      </c>
      <c r="K53" s="67">
        <v>4.0625000000000001E-2</v>
      </c>
      <c r="L53" s="68"/>
      <c r="M53" s="68">
        <v>2721000</v>
      </c>
      <c r="N53" s="68">
        <v>1050000</v>
      </c>
      <c r="O53" s="68">
        <v>1000000</v>
      </c>
      <c r="P53" s="69">
        <f t="shared" si="3"/>
        <v>2.7210000000000001</v>
      </c>
      <c r="Q53" s="108">
        <v>4.0500000000000001E-2</v>
      </c>
      <c r="R53" s="56"/>
      <c r="S53" s="57"/>
      <c r="T53" s="57"/>
    </row>
    <row r="54" spans="1:20" ht="13.5" customHeight="1">
      <c r="A54" s="109"/>
      <c r="B54" s="111"/>
      <c r="C54" s="64" t="s">
        <v>34</v>
      </c>
      <c r="D54" s="65">
        <v>42840</v>
      </c>
      <c r="E54" s="66">
        <v>6.25E-2</v>
      </c>
      <c r="F54" s="66">
        <v>4.8750000000000002E-2</v>
      </c>
      <c r="G54" s="66">
        <v>5.1622800000000003E-2</v>
      </c>
      <c r="H54" s="66">
        <v>0.06</v>
      </c>
      <c r="I54" s="66">
        <v>4.8750000000000002E-2</v>
      </c>
      <c r="J54" s="67">
        <v>5.1191899999999999E-2</v>
      </c>
      <c r="K54" s="67">
        <v>5.2187499999999998E-2</v>
      </c>
      <c r="L54" s="68"/>
      <c r="M54" s="68">
        <v>2449000</v>
      </c>
      <c r="N54" s="68">
        <v>2300000</v>
      </c>
      <c r="O54" s="68">
        <v>1950000</v>
      </c>
      <c r="P54" s="69">
        <f t="shared" si="3"/>
        <v>1.255897435897436</v>
      </c>
      <c r="Q54" s="108">
        <v>5.1499999999999997E-2</v>
      </c>
      <c r="R54" s="56">
        <v>0</v>
      </c>
      <c r="S54" s="57">
        <v>0</v>
      </c>
      <c r="T54" s="57"/>
    </row>
    <row r="55" spans="1:20" ht="13.5" customHeight="1">
      <c r="A55" s="109"/>
      <c r="B55" s="111"/>
      <c r="C55" s="64" t="s">
        <v>35</v>
      </c>
      <c r="D55" s="65">
        <v>44696</v>
      </c>
      <c r="E55" s="66">
        <v>7.0000000000000007E-2</v>
      </c>
      <c r="F55" s="66">
        <v>5.7500000000000002E-2</v>
      </c>
      <c r="G55" s="66">
        <v>5.9145700000000002E-2</v>
      </c>
      <c r="H55" s="66">
        <v>6.3125000000000001E-2</v>
      </c>
      <c r="I55" s="66">
        <v>5.7500000000000002E-2</v>
      </c>
      <c r="J55" s="67">
        <v>5.8697600000000003E-2</v>
      </c>
      <c r="K55" s="67">
        <v>5.9374999999999997E-2</v>
      </c>
      <c r="L55" s="68"/>
      <c r="M55" s="68">
        <v>3433000</v>
      </c>
      <c r="N55" s="68">
        <v>2050000</v>
      </c>
      <c r="O55" s="68">
        <v>2050000</v>
      </c>
      <c r="P55" s="69">
        <f t="shared" si="3"/>
        <v>1.6746341463414633</v>
      </c>
      <c r="Q55" s="108">
        <v>5.8700000000000002E-2</v>
      </c>
      <c r="R55" s="56">
        <v>0</v>
      </c>
      <c r="S55" s="57">
        <v>0</v>
      </c>
      <c r="T55" s="57"/>
    </row>
    <row r="56" spans="1:20" ht="13.5" customHeight="1">
      <c r="A56" s="109"/>
      <c r="B56" s="111"/>
      <c r="C56" s="64" t="s">
        <v>32</v>
      </c>
      <c r="D56" s="65">
        <v>48380</v>
      </c>
      <c r="E56" s="66">
        <v>8.2500000000000004E-2</v>
      </c>
      <c r="F56" s="66">
        <v>6.5937499999999996E-2</v>
      </c>
      <c r="G56" s="66">
        <v>6.7572999999999994E-2</v>
      </c>
      <c r="H56" s="66">
        <v>6.9375000000000006E-2</v>
      </c>
      <c r="I56" s="66">
        <v>6.5937499999999996E-2</v>
      </c>
      <c r="J56" s="67">
        <v>6.7264900000000002E-2</v>
      </c>
      <c r="K56" s="67">
        <v>6.7812499999999998E-2</v>
      </c>
      <c r="L56" s="68"/>
      <c r="M56" s="68">
        <v>3017000</v>
      </c>
      <c r="N56" s="68">
        <v>2100000</v>
      </c>
      <c r="O56" s="68">
        <v>2050000</v>
      </c>
      <c r="P56" s="69">
        <v>4.6167499999999997</v>
      </c>
      <c r="Q56" s="108">
        <v>6.7299999999999999E-2</v>
      </c>
      <c r="R56" s="56">
        <v>1.9887751488813776E-3</v>
      </c>
      <c r="S56" s="57">
        <v>29293528.561597757</v>
      </c>
      <c r="T56" s="62"/>
    </row>
    <row r="57" spans="1:20" ht="13.5" customHeight="1">
      <c r="A57" s="89">
        <v>40989</v>
      </c>
      <c r="B57" s="90">
        <v>40989</v>
      </c>
      <c r="C57" s="91" t="s">
        <v>61</v>
      </c>
      <c r="D57" s="92">
        <v>42815</v>
      </c>
      <c r="E57" s="94">
        <v>5.16E-2</v>
      </c>
      <c r="F57" s="94"/>
      <c r="G57" s="94"/>
      <c r="H57" s="94"/>
      <c r="I57" s="94"/>
      <c r="J57" s="94">
        <v>5.16E-2</v>
      </c>
      <c r="K57" s="95"/>
      <c r="L57" s="96">
        <v>8000000</v>
      </c>
      <c r="M57" s="96">
        <v>2000000</v>
      </c>
      <c r="N57" s="96">
        <v>2000000</v>
      </c>
      <c r="O57" s="96">
        <v>2000000</v>
      </c>
      <c r="P57" s="97">
        <f>M57/O57</f>
        <v>1</v>
      </c>
      <c r="Q57" s="98">
        <v>0.03</v>
      </c>
      <c r="R57" s="56"/>
      <c r="S57" s="57">
        <f>O57*J57/$R$10</f>
        <v>105751049.50865445</v>
      </c>
      <c r="T57" s="57"/>
    </row>
    <row r="58" spans="1:20" ht="13.5" customHeight="1">
      <c r="A58" s="100"/>
      <c r="B58" s="99"/>
      <c r="C58" s="91" t="s">
        <v>62</v>
      </c>
      <c r="D58" s="92">
        <v>43545</v>
      </c>
      <c r="E58" s="94">
        <v>5.4600000000000003E-2</v>
      </c>
      <c r="F58" s="94"/>
      <c r="G58" s="94"/>
      <c r="H58" s="94"/>
      <c r="I58" s="94"/>
      <c r="J58" s="94">
        <v>5.4600000000000003E-2</v>
      </c>
      <c r="K58" s="95"/>
      <c r="L58" s="96"/>
      <c r="M58" s="96">
        <v>3000000</v>
      </c>
      <c r="N58" s="96">
        <v>3000000</v>
      </c>
      <c r="O58" s="96">
        <v>3000000</v>
      </c>
      <c r="P58" s="97">
        <f>M58/O58</f>
        <v>1</v>
      </c>
      <c r="Q58" s="98">
        <v>4.07E-2</v>
      </c>
      <c r="R58" s="56"/>
      <c r="S58" s="57"/>
      <c r="T58" s="57"/>
    </row>
    <row r="59" spans="1:20" ht="13.5" customHeight="1">
      <c r="A59" s="100"/>
      <c r="B59" s="101"/>
      <c r="C59" s="91" t="s">
        <v>63</v>
      </c>
      <c r="D59" s="92">
        <v>44641</v>
      </c>
      <c r="E59" s="94">
        <v>5.91E-2</v>
      </c>
      <c r="F59" s="94"/>
      <c r="G59" s="94"/>
      <c r="H59" s="94"/>
      <c r="I59" s="94"/>
      <c r="J59" s="94">
        <v>5.91E-2</v>
      </c>
      <c r="K59" s="95"/>
      <c r="L59" s="96"/>
      <c r="M59" s="96">
        <v>3342000</v>
      </c>
      <c r="N59" s="96">
        <v>3342000</v>
      </c>
      <c r="O59" s="96">
        <v>3342000</v>
      </c>
      <c r="P59" s="97">
        <f>M59/O59</f>
        <v>1</v>
      </c>
      <c r="Q59" s="98">
        <v>4.8500000000000001E-2</v>
      </c>
      <c r="R59" s="56">
        <f>O59*J59/$O$39</f>
        <v>2.5650935064935068</v>
      </c>
      <c r="S59" s="57">
        <f>O59*J59/$R$10</f>
        <v>202394597.29421762</v>
      </c>
      <c r="T59" s="57"/>
    </row>
    <row r="60" spans="1:20" ht="13.5" customHeight="1">
      <c r="A60" s="60">
        <v>40995</v>
      </c>
      <c r="B60" s="61">
        <v>40997</v>
      </c>
      <c r="C60" s="18" t="s">
        <v>48</v>
      </c>
      <c r="D60" s="19">
        <v>43146</v>
      </c>
      <c r="E60" s="104">
        <v>4.4499999999999998E-2</v>
      </c>
      <c r="F60" s="27">
        <v>5.8125000000000003E-2</v>
      </c>
      <c r="G60" s="27"/>
      <c r="H60" s="27">
        <v>6.5000000000000002E-2</v>
      </c>
      <c r="I60" s="27"/>
      <c r="J60" s="27"/>
      <c r="K60" s="28"/>
      <c r="L60" s="22">
        <v>1000000</v>
      </c>
      <c r="M60" s="22">
        <v>108000</v>
      </c>
      <c r="N60" s="22"/>
      <c r="O60" s="22"/>
      <c r="P60" s="46"/>
      <c r="Q60" s="56"/>
      <c r="R60" s="56"/>
      <c r="S60" s="57"/>
      <c r="T60" s="57"/>
    </row>
    <row r="61" spans="1:20" ht="13.5" customHeight="1">
      <c r="A61" s="16"/>
      <c r="B61" s="17"/>
      <c r="C61" s="18" t="s">
        <v>49</v>
      </c>
      <c r="D61" s="19">
        <v>44576</v>
      </c>
      <c r="E61" s="104">
        <v>5.45E-2</v>
      </c>
      <c r="F61" s="27">
        <v>6.21875E-2</v>
      </c>
      <c r="G61" s="27"/>
      <c r="H61" s="27">
        <v>7.0000000000000007E-2</v>
      </c>
      <c r="I61" s="27"/>
      <c r="J61" s="28"/>
      <c r="K61" s="28"/>
      <c r="L61" s="22"/>
      <c r="M61" s="22">
        <v>483000</v>
      </c>
      <c r="N61" s="22"/>
      <c r="O61" s="22"/>
      <c r="P61" s="46"/>
      <c r="Q61" s="56"/>
      <c r="R61" s="56">
        <f>O61*J61/$O$218</f>
        <v>0</v>
      </c>
      <c r="S61" s="57">
        <f>O61*J61/$R$10</f>
        <v>0</v>
      </c>
      <c r="T61" s="57"/>
    </row>
    <row r="62" spans="1:20" ht="13.5" customHeight="1">
      <c r="A62" s="16"/>
      <c r="B62" s="17"/>
      <c r="C62" s="18" t="s">
        <v>50</v>
      </c>
      <c r="D62" s="19">
        <v>46402</v>
      </c>
      <c r="E62" s="27">
        <v>0.06</v>
      </c>
      <c r="F62" s="27">
        <v>6.5312499999999996E-2</v>
      </c>
      <c r="G62" s="27"/>
      <c r="H62" s="27">
        <v>7.0937500000000001E-2</v>
      </c>
      <c r="I62" s="27"/>
      <c r="J62" s="28"/>
      <c r="K62" s="28"/>
      <c r="L62" s="22"/>
      <c r="M62" s="22">
        <v>801000</v>
      </c>
      <c r="N62" s="22"/>
      <c r="O62" s="22"/>
      <c r="P62" s="46"/>
      <c r="Q62" s="56"/>
      <c r="R62" s="56"/>
      <c r="S62" s="57"/>
      <c r="T62" s="57"/>
    </row>
    <row r="63" spans="1:20" ht="13.5" customHeight="1">
      <c r="A63" s="16"/>
      <c r="B63" s="17"/>
      <c r="C63" s="18" t="s">
        <v>53</v>
      </c>
      <c r="D63" s="19">
        <v>50086</v>
      </c>
      <c r="E63" s="27">
        <v>6.0999999999999999E-2</v>
      </c>
      <c r="F63" s="27">
        <v>6.8125000000000005E-2</v>
      </c>
      <c r="G63" s="27"/>
      <c r="H63" s="27">
        <v>7.2499999999999995E-2</v>
      </c>
      <c r="I63" s="27"/>
      <c r="J63" s="28">
        <v>6.9596500000000006E-2</v>
      </c>
      <c r="K63" s="28"/>
      <c r="L63" s="22"/>
      <c r="M63" s="22">
        <v>792000</v>
      </c>
      <c r="N63" s="22"/>
      <c r="O63" s="22">
        <v>355000</v>
      </c>
      <c r="P63" s="46">
        <f>M63/O63</f>
        <v>2.2309859154929579</v>
      </c>
      <c r="Q63" s="108">
        <v>6.7299999999999999E-2</v>
      </c>
      <c r="R63" s="56">
        <f>O63*J63/$O$218</f>
        <v>9.2001320300979657E-5</v>
      </c>
      <c r="S63" s="57">
        <f>O63*J63/$R$10</f>
        <v>25317495.499814145</v>
      </c>
      <c r="T63" s="57"/>
    </row>
    <row r="64" spans="1:20" ht="13.5" customHeight="1">
      <c r="A64" s="89">
        <v>41002</v>
      </c>
      <c r="B64" s="90">
        <v>41004</v>
      </c>
      <c r="C64" s="91" t="s">
        <v>64</v>
      </c>
      <c r="D64" s="92">
        <v>41368</v>
      </c>
      <c r="E64" s="94">
        <v>0</v>
      </c>
      <c r="F64" s="94">
        <v>3.875E-2</v>
      </c>
      <c r="G64" s="94">
        <v>4.1736099999999998E-2</v>
      </c>
      <c r="H64" s="94">
        <v>4.4999999999999998E-2</v>
      </c>
      <c r="I64" s="94">
        <v>3.875E-2</v>
      </c>
      <c r="J64" s="94">
        <v>3.9166699999999999E-2</v>
      </c>
      <c r="K64" s="95">
        <v>3.9375E-2</v>
      </c>
      <c r="L64" s="96">
        <v>6000000</v>
      </c>
      <c r="M64" s="96">
        <v>6100000</v>
      </c>
      <c r="N64" s="96">
        <v>1300000</v>
      </c>
      <c r="O64" s="96">
        <v>1000000</v>
      </c>
      <c r="P64" s="97">
        <f>M64/O64</f>
        <v>6.1</v>
      </c>
      <c r="Q64" s="98">
        <v>3.95E-2</v>
      </c>
      <c r="R64" s="56"/>
      <c r="S64" s="57">
        <f>O64*J64/$R$10</f>
        <v>40134880.14331992</v>
      </c>
      <c r="T64" s="57"/>
    </row>
    <row r="65" spans="1:23" ht="13.5" customHeight="1">
      <c r="A65" s="89"/>
      <c r="B65" s="90"/>
      <c r="C65" s="91" t="s">
        <v>35</v>
      </c>
      <c r="D65" s="92">
        <v>44696</v>
      </c>
      <c r="E65" s="94">
        <v>7.0000000000000007E-2</v>
      </c>
      <c r="F65" s="94">
        <v>5.7812500000000003E-2</v>
      </c>
      <c r="G65" s="94">
        <v>5.89077E-2</v>
      </c>
      <c r="H65" s="94">
        <v>6.1874999999999999E-2</v>
      </c>
      <c r="I65" s="94">
        <v>5.7812500000000003E-2</v>
      </c>
      <c r="J65" s="94">
        <v>5.86992E-2</v>
      </c>
      <c r="K65" s="95">
        <v>5.9062499999999997E-2</v>
      </c>
      <c r="L65" s="96"/>
      <c r="M65" s="96">
        <v>4188000</v>
      </c>
      <c r="N65" s="96">
        <v>3300000</v>
      </c>
      <c r="O65" s="96">
        <v>3300000</v>
      </c>
      <c r="P65" s="97">
        <f>M65/O65</f>
        <v>1.269090909090909</v>
      </c>
      <c r="Q65" s="98">
        <v>5.8700000000000002E-2</v>
      </c>
      <c r="R65" s="56"/>
      <c r="S65" s="57"/>
      <c r="T65" s="57"/>
    </row>
    <row r="66" spans="1:23" ht="13.5" customHeight="1">
      <c r="A66" s="89"/>
      <c r="B66" s="90"/>
      <c r="C66" s="91" t="s">
        <v>43</v>
      </c>
      <c r="D66" s="92">
        <v>46522</v>
      </c>
      <c r="E66" s="94">
        <v>7.0000000000000007E-2</v>
      </c>
      <c r="F66" s="94">
        <v>6.21875E-2</v>
      </c>
      <c r="G66" s="94">
        <v>6.3441600000000001E-2</v>
      </c>
      <c r="H66" s="94">
        <v>6.5000000000000002E-2</v>
      </c>
      <c r="I66" s="94">
        <v>6.21875E-2</v>
      </c>
      <c r="J66" s="94">
        <v>6.3199099999999994E-2</v>
      </c>
      <c r="K66" s="95">
        <v>6.3437499999999994E-2</v>
      </c>
      <c r="L66" s="96"/>
      <c r="M66" s="96">
        <v>4009000</v>
      </c>
      <c r="N66" s="96">
        <v>2700000</v>
      </c>
      <c r="O66" s="96">
        <v>2700000</v>
      </c>
      <c r="P66" s="97">
        <f t="shared" ref="P66:P72" si="4">M66/O66</f>
        <v>1.4848148148148148</v>
      </c>
      <c r="Q66" s="98">
        <v>6.3200000000000006E-2</v>
      </c>
      <c r="R66" s="56" t="e">
        <f>O66*J66/$O$43</f>
        <v>#DIV/0!</v>
      </c>
      <c r="S66" s="57">
        <f>O66*J66/$R$10</f>
        <v>174855640.63087681</v>
      </c>
      <c r="T66" s="57"/>
    </row>
    <row r="67" spans="1:23" ht="13.5" customHeight="1">
      <c r="A67" s="89"/>
      <c r="B67" s="90"/>
      <c r="C67" s="91" t="s">
        <v>32</v>
      </c>
      <c r="D67" s="92">
        <v>48380</v>
      </c>
      <c r="E67" s="94">
        <v>8.2500000000000004E-2</v>
      </c>
      <c r="F67" s="94">
        <v>6.6562499999999997E-2</v>
      </c>
      <c r="G67" s="94">
        <v>6.7594600000000005E-2</v>
      </c>
      <c r="H67" s="94">
        <v>7.0000000000000007E-2</v>
      </c>
      <c r="I67" s="94">
        <v>6.6562499999999997E-2</v>
      </c>
      <c r="J67" s="94">
        <v>6.7283399999999993E-2</v>
      </c>
      <c r="K67" s="95">
        <v>6.7500000000000004E-2</v>
      </c>
      <c r="L67" s="96"/>
      <c r="M67" s="96">
        <v>5192000</v>
      </c>
      <c r="N67" s="96">
        <v>2150000</v>
      </c>
      <c r="O67" s="96">
        <v>2000000</v>
      </c>
      <c r="P67" s="97">
        <f t="shared" si="4"/>
        <v>2.5960000000000001</v>
      </c>
      <c r="Q67" s="98">
        <v>6.7299999999999999E-2</v>
      </c>
      <c r="R67" s="56" t="e">
        <f>O67*J67/$O$43</f>
        <v>#DIV/0!</v>
      </c>
      <c r="S67" s="57">
        <f>O67*J67/$R$10</f>
        <v>137893220.24245349</v>
      </c>
      <c r="T67" s="57"/>
    </row>
    <row r="68" spans="1:23" ht="13.5" customHeight="1">
      <c r="A68" s="60">
        <v>41009</v>
      </c>
      <c r="B68" s="61">
        <v>41011</v>
      </c>
      <c r="C68" s="18" t="s">
        <v>65</v>
      </c>
      <c r="D68" s="19">
        <v>41193</v>
      </c>
      <c r="E68" s="104">
        <v>0</v>
      </c>
      <c r="F68" s="27">
        <v>3.7812499999999999E-2</v>
      </c>
      <c r="G68" s="27"/>
      <c r="H68" s="27">
        <v>4.7500000000000001E-2</v>
      </c>
      <c r="I68" s="27"/>
      <c r="J68" s="27"/>
      <c r="K68" s="28"/>
      <c r="L68" s="22">
        <v>1000000</v>
      </c>
      <c r="M68" s="22">
        <v>2451000</v>
      </c>
      <c r="N68" s="22"/>
      <c r="O68" s="22">
        <v>0</v>
      </c>
      <c r="P68" s="97" t="e">
        <f t="shared" si="4"/>
        <v>#DIV/0!</v>
      </c>
      <c r="Q68" s="56"/>
      <c r="R68" s="56"/>
      <c r="S68" s="57">
        <f>O68*J68/$R$10</f>
        <v>0</v>
      </c>
      <c r="T68" s="57"/>
    </row>
    <row r="69" spans="1:23" ht="13.5" customHeight="1">
      <c r="A69" s="16"/>
      <c r="B69" s="17"/>
      <c r="C69" s="18" t="s">
        <v>48</v>
      </c>
      <c r="D69" s="19">
        <v>43146</v>
      </c>
      <c r="E69" s="104">
        <v>4.4499999999999998E-2</v>
      </c>
      <c r="F69" s="27">
        <v>5.3124999999999999E-2</v>
      </c>
      <c r="G69" s="27"/>
      <c r="H69" s="27">
        <v>6.5000000000000002E-2</v>
      </c>
      <c r="I69" s="27"/>
      <c r="J69" s="28">
        <v>5.3124999999999999E-2</v>
      </c>
      <c r="K69" s="28"/>
      <c r="L69" s="22"/>
      <c r="M69" s="22">
        <v>2171000</v>
      </c>
      <c r="N69" s="22"/>
      <c r="O69" s="22">
        <v>1000000</v>
      </c>
      <c r="P69" s="97">
        <f t="shared" si="4"/>
        <v>2.1709999999999998</v>
      </c>
      <c r="Q69" s="56"/>
      <c r="R69" s="56"/>
      <c r="S69" s="57"/>
      <c r="T69" s="57"/>
    </row>
    <row r="70" spans="1:23" ht="13.5" customHeight="1">
      <c r="A70" s="16"/>
      <c r="B70" s="17"/>
      <c r="C70" s="18" t="s">
        <v>49</v>
      </c>
      <c r="D70" s="19">
        <v>44576</v>
      </c>
      <c r="E70" s="104">
        <v>5.45E-2</v>
      </c>
      <c r="F70" s="27">
        <v>6.0937499999999999E-2</v>
      </c>
      <c r="G70" s="27"/>
      <c r="H70" s="27">
        <v>7.0000000000000007E-2</v>
      </c>
      <c r="I70" s="27"/>
      <c r="J70" s="28">
        <v>6.1093799999999997E-2</v>
      </c>
      <c r="K70" s="28"/>
      <c r="L70" s="22"/>
      <c r="M70" s="22">
        <v>466000</v>
      </c>
      <c r="N70" s="22"/>
      <c r="O70" s="22">
        <v>100000</v>
      </c>
      <c r="P70" s="97">
        <f t="shared" si="4"/>
        <v>4.66</v>
      </c>
      <c r="Q70" s="56"/>
      <c r="R70" s="56" t="e">
        <f>O70*J70/$O$43</f>
        <v>#DIV/0!</v>
      </c>
      <c r="S70" s="57">
        <f>O70*J70/$R$10</f>
        <v>6260400.6477440242</v>
      </c>
      <c r="T70" s="57"/>
    </row>
    <row r="71" spans="1:23" ht="13.5" customHeight="1">
      <c r="A71" s="16"/>
      <c r="B71" s="17"/>
      <c r="C71" s="18" t="s">
        <v>50</v>
      </c>
      <c r="D71" s="19">
        <v>46402</v>
      </c>
      <c r="E71" s="27">
        <v>0.06</v>
      </c>
      <c r="F71" s="27">
        <v>6.5312499999999996E-2</v>
      </c>
      <c r="G71" s="27"/>
      <c r="H71" s="27">
        <v>7.4999999999999997E-2</v>
      </c>
      <c r="I71" s="27"/>
      <c r="J71" s="28">
        <v>6.5312499999999996E-2</v>
      </c>
      <c r="K71" s="28"/>
      <c r="L71" s="22"/>
      <c r="M71" s="22">
        <v>1341000</v>
      </c>
      <c r="N71" s="22"/>
      <c r="O71" s="22">
        <v>550000</v>
      </c>
      <c r="P71" s="97">
        <f t="shared" si="4"/>
        <v>2.438181818181818</v>
      </c>
      <c r="Q71" s="108"/>
      <c r="R71" s="56" t="e">
        <f>O71*J71/$O$43</f>
        <v>#DIV/0!</v>
      </c>
      <c r="S71" s="57">
        <f>O71*J71/$R$10</f>
        <v>36809844.782642402</v>
      </c>
      <c r="T71" s="57"/>
    </row>
    <row r="72" spans="1:23" ht="13.5" customHeight="1">
      <c r="A72" s="16"/>
      <c r="B72" s="17"/>
      <c r="C72" s="18" t="s">
        <v>53</v>
      </c>
      <c r="D72" s="19">
        <v>50086</v>
      </c>
      <c r="E72" s="27">
        <v>6.0999999999999999E-2</v>
      </c>
      <c r="F72" s="27">
        <v>6.8750000000000006E-2</v>
      </c>
      <c r="G72" s="27"/>
      <c r="H72" s="27">
        <v>0.08</v>
      </c>
      <c r="I72" s="27"/>
      <c r="J72" s="28">
        <v>6.9043400000000005E-2</v>
      </c>
      <c r="K72" s="28"/>
      <c r="L72" s="22"/>
      <c r="M72" s="22">
        <v>639000</v>
      </c>
      <c r="N72" s="22"/>
      <c r="O72" s="22">
        <v>250000</v>
      </c>
      <c r="P72" s="97">
        <f t="shared" si="4"/>
        <v>2.556</v>
      </c>
      <c r="Q72" s="108"/>
      <c r="R72" s="56" t="e">
        <f>O72*J72/$O$43</f>
        <v>#DIV/0!</v>
      </c>
      <c r="S72" s="57">
        <f>O72*J72/$R$10</f>
        <v>17687529.097979248</v>
      </c>
      <c r="T72" s="57"/>
    </row>
    <row r="73" spans="1:23" ht="13.5" customHeight="1">
      <c r="A73" s="89">
        <v>41016</v>
      </c>
      <c r="B73" s="89">
        <v>41018</v>
      </c>
      <c r="C73" s="91" t="s">
        <v>66</v>
      </c>
      <c r="D73" s="92">
        <v>41108</v>
      </c>
      <c r="E73" s="93">
        <v>0</v>
      </c>
      <c r="F73" s="94">
        <v>3.15625E-2</v>
      </c>
      <c r="G73" s="94">
        <v>3.7930400000000003E-2</v>
      </c>
      <c r="H73" s="94">
        <v>4.4999999999999998E-2</v>
      </c>
      <c r="I73" s="94">
        <v>3.15625E-2</v>
      </c>
      <c r="J73" s="95">
        <v>3.3057299999999998E-2</v>
      </c>
      <c r="K73" s="95">
        <v>3.3437500000000002E-2</v>
      </c>
      <c r="L73" s="96">
        <v>6000000</v>
      </c>
      <c r="M73" s="96">
        <v>2080000</v>
      </c>
      <c r="N73" s="96">
        <v>300000</v>
      </c>
      <c r="O73" s="96">
        <v>300000</v>
      </c>
      <c r="P73" s="97">
        <f>M73/O73</f>
        <v>6.9333333333333336</v>
      </c>
      <c r="Q73" s="98">
        <v>3.3099999999999997E-2</v>
      </c>
      <c r="R73" s="56"/>
      <c r="S73" s="57">
        <f>O73*J73/$R$10</f>
        <v>10162337.700355936</v>
      </c>
      <c r="T73" s="57"/>
    </row>
    <row r="74" spans="1:23" ht="13.5" customHeight="1">
      <c r="A74" s="100"/>
      <c r="B74" s="99"/>
      <c r="C74" s="91" t="s">
        <v>67</v>
      </c>
      <c r="D74" s="92">
        <v>41368</v>
      </c>
      <c r="E74" s="93">
        <v>0</v>
      </c>
      <c r="F74" s="94">
        <v>3.875E-2</v>
      </c>
      <c r="G74" s="94">
        <v>4.0850999999999998E-2</v>
      </c>
      <c r="H74" s="94">
        <v>4.7500000000000001E-2</v>
      </c>
      <c r="I74" s="94">
        <v>3.875E-2</v>
      </c>
      <c r="J74" s="95">
        <v>3.95E-2</v>
      </c>
      <c r="K74" s="95">
        <v>0.04</v>
      </c>
      <c r="L74" s="96"/>
      <c r="M74" s="96">
        <v>4150000</v>
      </c>
      <c r="N74" s="96">
        <v>1900000</v>
      </c>
      <c r="O74" s="96">
        <v>1900000</v>
      </c>
      <c r="P74" s="97">
        <f>M74/O74</f>
        <v>2.1842105263157894</v>
      </c>
      <c r="Q74" s="98">
        <v>3.95E-2</v>
      </c>
      <c r="R74" s="56"/>
      <c r="S74" s="57"/>
      <c r="T74" s="57"/>
    </row>
    <row r="75" spans="1:23" ht="13.5" customHeight="1">
      <c r="A75" s="100"/>
      <c r="B75" s="101"/>
      <c r="C75" s="91" t="s">
        <v>35</v>
      </c>
      <c r="D75" s="92">
        <v>44696</v>
      </c>
      <c r="E75" s="94">
        <v>7.0000000000000007E-2</v>
      </c>
      <c r="F75" s="94">
        <v>6.0937499999999999E-2</v>
      </c>
      <c r="G75" s="94">
        <v>6.21383E-2</v>
      </c>
      <c r="H75" s="94">
        <v>6.5000000000000002E-2</v>
      </c>
      <c r="I75" s="94"/>
      <c r="J75" s="95"/>
      <c r="K75" s="95"/>
      <c r="L75" s="96"/>
      <c r="M75" s="96">
        <v>3225000</v>
      </c>
      <c r="N75" s="96">
        <v>0</v>
      </c>
      <c r="O75" s="96">
        <v>0</v>
      </c>
      <c r="P75" s="97"/>
      <c r="Q75" s="98">
        <v>6.0999999999999999E-2</v>
      </c>
      <c r="R75" s="56">
        <v>0</v>
      </c>
      <c r="S75" s="57">
        <v>0</v>
      </c>
      <c r="T75" s="57"/>
    </row>
    <row r="76" spans="1:23" ht="13.5" customHeight="1">
      <c r="A76" s="100"/>
      <c r="B76" s="101"/>
      <c r="C76" s="91" t="s">
        <v>43</v>
      </c>
      <c r="D76" s="92">
        <v>46522</v>
      </c>
      <c r="E76" s="94">
        <v>7.0000000000000007E-2</v>
      </c>
      <c r="F76" s="94">
        <v>6.5625000000000003E-2</v>
      </c>
      <c r="G76" s="94">
        <v>6.5997700000000006E-2</v>
      </c>
      <c r="H76" s="94">
        <v>6.7500000000000004E-2</v>
      </c>
      <c r="I76" s="94"/>
      <c r="J76" s="95"/>
      <c r="K76" s="95"/>
      <c r="L76" s="96"/>
      <c r="M76" s="96">
        <v>3020000</v>
      </c>
      <c r="N76" s="96">
        <v>0</v>
      </c>
      <c r="O76" s="96">
        <v>0</v>
      </c>
      <c r="P76" s="97"/>
      <c r="Q76" s="98">
        <v>6.4699999999999994E-2</v>
      </c>
      <c r="R76" s="56">
        <v>0</v>
      </c>
      <c r="S76" s="57">
        <v>0</v>
      </c>
      <c r="T76" s="57"/>
    </row>
    <row r="77" spans="1:23" ht="13.5" customHeight="1">
      <c r="A77" s="100"/>
      <c r="B77" s="101"/>
      <c r="C77" s="91" t="s">
        <v>32</v>
      </c>
      <c r="D77" s="92">
        <v>48380</v>
      </c>
      <c r="E77" s="94">
        <v>8.2500000000000004E-2</v>
      </c>
      <c r="F77" s="94">
        <v>6.9062499999999999E-2</v>
      </c>
      <c r="G77" s="94">
        <v>6.9961999999999996E-2</v>
      </c>
      <c r="H77" s="94">
        <v>7.2499999999999995E-2</v>
      </c>
      <c r="I77" s="94"/>
      <c r="J77" s="95"/>
      <c r="K77" s="95"/>
      <c r="L77" s="96"/>
      <c r="M77" s="96">
        <v>2362000</v>
      </c>
      <c r="N77" s="96">
        <v>0</v>
      </c>
      <c r="O77" s="96">
        <v>0</v>
      </c>
      <c r="P77" s="97"/>
      <c r="Q77" s="98">
        <v>6.8500000000000005E-2</v>
      </c>
      <c r="R77" s="56">
        <v>1.9887751488813776E-3</v>
      </c>
      <c r="S77" s="57">
        <v>29293528.561597757</v>
      </c>
      <c r="T77" s="62"/>
    </row>
    <row r="78" spans="1:23" s="71" customFormat="1" ht="13.5" customHeight="1">
      <c r="A78" s="281">
        <v>41016</v>
      </c>
      <c r="B78" s="283">
        <v>41024</v>
      </c>
      <c r="C78" s="77" t="s">
        <v>68</v>
      </c>
      <c r="D78" s="78">
        <v>44676</v>
      </c>
      <c r="E78" s="79">
        <v>3.7499999999999999E-2</v>
      </c>
      <c r="F78" s="80"/>
      <c r="G78" s="80"/>
      <c r="H78" s="80"/>
      <c r="I78" s="80"/>
      <c r="J78" s="81"/>
      <c r="K78" s="81"/>
      <c r="L78" s="113">
        <v>20000000</v>
      </c>
      <c r="M78" s="83" t="s">
        <v>71</v>
      </c>
      <c r="N78" s="83" t="s">
        <v>69</v>
      </c>
      <c r="O78" s="83" t="s">
        <v>69</v>
      </c>
      <c r="P78" s="112"/>
      <c r="Q78" s="85"/>
      <c r="R78" s="56"/>
      <c r="U78" s="71">
        <f>U79*5900</f>
        <v>54221000</v>
      </c>
      <c r="V78" s="71">
        <f>U79*2000</f>
        <v>18380000</v>
      </c>
      <c r="W78" s="71">
        <f>U79*2000</f>
        <v>18380000</v>
      </c>
    </row>
    <row r="79" spans="1:23" s="71" customFormat="1" ht="13.5" customHeight="1">
      <c r="A79" s="282"/>
      <c r="B79" s="284"/>
      <c r="C79" s="64"/>
      <c r="D79" s="65"/>
      <c r="E79" s="75"/>
      <c r="F79" s="66"/>
      <c r="G79" s="66"/>
      <c r="H79" s="66"/>
      <c r="I79" s="66"/>
      <c r="J79" s="67"/>
      <c r="K79" s="114"/>
      <c r="L79" s="167"/>
      <c r="M79" s="68">
        <f>U78</f>
        <v>54221000</v>
      </c>
      <c r="N79" s="68">
        <f>V78</f>
        <v>18380000</v>
      </c>
      <c r="O79" s="68">
        <f>W78</f>
        <v>18380000</v>
      </c>
      <c r="P79" s="69">
        <f>M79/O79</f>
        <v>2.95</v>
      </c>
      <c r="Q79" s="70"/>
      <c r="R79" s="56">
        <f>O79*J79/$O$52</f>
        <v>0</v>
      </c>
      <c r="U79" s="71">
        <v>9190</v>
      </c>
    </row>
    <row r="80" spans="1:23" s="71" customFormat="1" ht="13.5" customHeight="1">
      <c r="A80" s="282"/>
      <c r="B80" s="284"/>
      <c r="C80" s="77" t="s">
        <v>39</v>
      </c>
      <c r="D80" s="78">
        <v>51883</v>
      </c>
      <c r="E80" s="79">
        <v>5.2499999999999998E-2</v>
      </c>
      <c r="F80" s="80"/>
      <c r="G80" s="80"/>
      <c r="H80" s="80"/>
      <c r="I80" s="80"/>
      <c r="J80" s="81"/>
      <c r="K80" s="115"/>
      <c r="L80" s="167"/>
      <c r="M80" s="83" t="s">
        <v>69</v>
      </c>
      <c r="N80" s="83" t="s">
        <v>41</v>
      </c>
      <c r="O80" s="83" t="s">
        <v>70</v>
      </c>
      <c r="P80" s="84"/>
      <c r="Q80" s="85"/>
      <c r="R80" s="56"/>
      <c r="U80" s="71">
        <f>U81*2000</f>
        <v>18380000</v>
      </c>
      <c r="V80" s="71">
        <f>U81*500</f>
        <v>4595000</v>
      </c>
      <c r="W80" s="71">
        <f>U81*500</f>
        <v>4595000</v>
      </c>
    </row>
    <row r="81" spans="1:21" s="71" customFormat="1" ht="13.5" customHeight="1">
      <c r="A81" s="282"/>
      <c r="B81" s="284"/>
      <c r="C81" s="64"/>
      <c r="D81" s="65"/>
      <c r="E81" s="75"/>
      <c r="F81" s="66"/>
      <c r="G81" s="66"/>
      <c r="H81" s="66"/>
      <c r="I81" s="66"/>
      <c r="J81" s="67"/>
      <c r="K81" s="114"/>
      <c r="L81" s="167"/>
      <c r="M81" s="68">
        <f>U80</f>
        <v>18380000</v>
      </c>
      <c r="N81" s="68">
        <f>V80</f>
        <v>4595000</v>
      </c>
      <c r="O81" s="68">
        <f>W80</f>
        <v>4595000</v>
      </c>
      <c r="P81" s="69">
        <f t="shared" ref="P81:P97" si="5">M81/O81</f>
        <v>4</v>
      </c>
      <c r="Q81" s="70"/>
      <c r="R81" s="56">
        <f>O81*J81/$O$52</f>
        <v>0</v>
      </c>
      <c r="U81" s="71">
        <v>9190</v>
      </c>
    </row>
    <row r="82" spans="1:21" ht="13.5" customHeight="1">
      <c r="A82" s="89">
        <v>41023</v>
      </c>
      <c r="B82" s="89">
        <v>41026</v>
      </c>
      <c r="C82" s="125" t="s">
        <v>48</v>
      </c>
      <c r="D82" s="126">
        <v>43146</v>
      </c>
      <c r="E82" s="128">
        <v>4.4499999999999998E-2</v>
      </c>
      <c r="F82" s="128">
        <v>5.3124999999999999E-2</v>
      </c>
      <c r="G82" s="128"/>
      <c r="H82" s="128">
        <v>6.25E-2</v>
      </c>
      <c r="I82" s="128"/>
      <c r="J82" s="129">
        <v>5.3124999999999999E-2</v>
      </c>
      <c r="K82" s="129"/>
      <c r="L82" s="130">
        <v>1000000</v>
      </c>
      <c r="M82" s="130">
        <v>2674000</v>
      </c>
      <c r="N82" s="130"/>
      <c r="O82" s="130">
        <v>1500000</v>
      </c>
      <c r="P82" s="131">
        <f t="shared" si="5"/>
        <v>1.7826666666666666</v>
      </c>
      <c r="Q82" s="132"/>
      <c r="R82" s="56"/>
      <c r="S82" s="57"/>
      <c r="T82" s="57"/>
    </row>
    <row r="83" spans="1:21" ht="13.5" customHeight="1">
      <c r="A83" s="89"/>
      <c r="B83" s="89"/>
      <c r="C83" s="91" t="s">
        <v>49</v>
      </c>
      <c r="D83" s="92">
        <v>44576</v>
      </c>
      <c r="E83" s="94">
        <v>5.45E-2</v>
      </c>
      <c r="F83" s="94">
        <v>6.1562499999999999E-2</v>
      </c>
      <c r="G83" s="94"/>
      <c r="H83" s="94">
        <v>6.7500000000000004E-2</v>
      </c>
      <c r="I83" s="94"/>
      <c r="J83" s="95"/>
      <c r="K83" s="95"/>
      <c r="L83" s="96"/>
      <c r="M83" s="96">
        <v>441000</v>
      </c>
      <c r="N83" s="96"/>
      <c r="O83" s="96">
        <v>0</v>
      </c>
      <c r="P83" s="97" t="e">
        <f t="shared" si="5"/>
        <v>#DIV/0!</v>
      </c>
      <c r="Q83" s="98"/>
      <c r="R83" s="56" t="e">
        <f>O83*J83/$O$43</f>
        <v>#DIV/0!</v>
      </c>
      <c r="S83" s="57">
        <f>O83*J83/$R$10</f>
        <v>0</v>
      </c>
      <c r="T83" s="57"/>
    </row>
    <row r="84" spans="1:21" ht="13.5" customHeight="1">
      <c r="A84" s="100"/>
      <c r="B84" s="99"/>
      <c r="C84" s="91" t="s">
        <v>50</v>
      </c>
      <c r="D84" s="92">
        <v>46402</v>
      </c>
      <c r="E84" s="94">
        <v>0.06</v>
      </c>
      <c r="F84" s="94">
        <v>6.5000000000000002E-2</v>
      </c>
      <c r="G84" s="94"/>
      <c r="H84" s="94">
        <v>7.0000000000000007E-2</v>
      </c>
      <c r="I84" s="94"/>
      <c r="J84" s="95">
        <v>6.5302399999999997E-2</v>
      </c>
      <c r="K84" s="95"/>
      <c r="L84" s="96"/>
      <c r="M84" s="96">
        <v>841000</v>
      </c>
      <c r="N84" s="96"/>
      <c r="O84" s="96">
        <v>320000</v>
      </c>
      <c r="P84" s="97">
        <f t="shared" si="5"/>
        <v>2.6281249999999998</v>
      </c>
      <c r="Q84" s="98"/>
      <c r="R84" s="56" t="e">
        <f>O84*J84/$O$43</f>
        <v>#DIV/0!</v>
      </c>
      <c r="S84" s="57">
        <f>O84*J84/$R$10</f>
        <v>21413325.071113043</v>
      </c>
      <c r="T84" s="57"/>
    </row>
    <row r="85" spans="1:21" ht="13.5" customHeight="1">
      <c r="A85" s="143"/>
      <c r="B85" s="144"/>
      <c r="C85" s="145" t="s">
        <v>53</v>
      </c>
      <c r="D85" s="146">
        <v>50086</v>
      </c>
      <c r="E85" s="147">
        <v>6.0999999999999999E-2</v>
      </c>
      <c r="F85" s="147">
        <v>6.906255E-2</v>
      </c>
      <c r="G85" s="147"/>
      <c r="H85" s="147">
        <v>7.2499999999999995E-2</v>
      </c>
      <c r="I85" s="147"/>
      <c r="J85" s="148"/>
      <c r="K85" s="148"/>
      <c r="L85" s="149"/>
      <c r="M85" s="149">
        <v>235000</v>
      </c>
      <c r="N85" s="149"/>
      <c r="O85" s="149">
        <v>0</v>
      </c>
      <c r="P85" s="150" t="e">
        <f t="shared" si="5"/>
        <v>#DIV/0!</v>
      </c>
      <c r="Q85" s="151"/>
      <c r="R85" s="56" t="e">
        <f>O85*J85/$O$43</f>
        <v>#DIV/0!</v>
      </c>
      <c r="S85" s="57">
        <f>O85*J85/$R$10</f>
        <v>0</v>
      </c>
      <c r="T85" s="57"/>
    </row>
    <row r="86" spans="1:21" s="123" customFormat="1" ht="13.5" customHeight="1">
      <c r="A86" s="124">
        <v>41026</v>
      </c>
      <c r="B86" s="124">
        <v>41026</v>
      </c>
      <c r="C86" s="125" t="s">
        <v>74</v>
      </c>
      <c r="D86" s="126">
        <v>42487</v>
      </c>
      <c r="E86" s="127">
        <v>5.0299999999999997E-2</v>
      </c>
      <c r="F86" s="128"/>
      <c r="G86" s="128"/>
      <c r="H86" s="128"/>
      <c r="I86" s="128"/>
      <c r="J86" s="129">
        <v>5.0299999999999997E-2</v>
      </c>
      <c r="K86" s="129"/>
      <c r="L86" s="130">
        <v>2500000</v>
      </c>
      <c r="M86" s="130">
        <v>1000000</v>
      </c>
      <c r="N86" s="130">
        <v>1000000</v>
      </c>
      <c r="O86" s="130">
        <v>1000000</v>
      </c>
      <c r="P86" s="131">
        <f t="shared" si="5"/>
        <v>1</v>
      </c>
      <c r="Q86" s="132"/>
      <c r="R86" s="121"/>
      <c r="S86" s="122">
        <f>O86*J86/$R$10</f>
        <v>51543389.440749206</v>
      </c>
      <c r="T86" s="122"/>
    </row>
    <row r="87" spans="1:21" s="123" customFormat="1" ht="13.5" customHeight="1">
      <c r="A87" s="133"/>
      <c r="B87" s="134"/>
      <c r="C87" s="135" t="s">
        <v>75</v>
      </c>
      <c r="D87" s="136">
        <v>43948</v>
      </c>
      <c r="E87" s="137">
        <v>5.79E-2</v>
      </c>
      <c r="F87" s="138"/>
      <c r="G87" s="138"/>
      <c r="H87" s="138"/>
      <c r="I87" s="138"/>
      <c r="J87" s="139">
        <v>5.79E-2</v>
      </c>
      <c r="K87" s="139"/>
      <c r="L87" s="140"/>
      <c r="M87" s="140">
        <v>1500000</v>
      </c>
      <c r="N87" s="140">
        <v>1500000</v>
      </c>
      <c r="O87" s="140">
        <v>1500000</v>
      </c>
      <c r="P87" s="141">
        <f t="shared" si="5"/>
        <v>1</v>
      </c>
      <c r="Q87" s="142"/>
      <c r="R87" s="121"/>
      <c r="S87" s="122"/>
      <c r="T87" s="122"/>
    </row>
    <row r="88" spans="1:21" ht="13.5" customHeight="1">
      <c r="A88" s="89">
        <v>41031</v>
      </c>
      <c r="B88" s="89">
        <v>41033</v>
      </c>
      <c r="C88" s="91" t="s">
        <v>78</v>
      </c>
      <c r="D88" s="92">
        <v>41396</v>
      </c>
      <c r="E88" s="93">
        <v>0</v>
      </c>
      <c r="F88" s="94">
        <v>0.04</v>
      </c>
      <c r="G88" s="94">
        <v>4.0236899999999999E-2</v>
      </c>
      <c r="H88" s="94">
        <v>4.4999999999999998E-2</v>
      </c>
      <c r="I88" s="94">
        <v>0.04</v>
      </c>
      <c r="J88" s="95">
        <v>4.0468799999999999E-2</v>
      </c>
      <c r="K88" s="95">
        <v>4.0625000000000001E-2</v>
      </c>
      <c r="L88" s="96">
        <v>6000000</v>
      </c>
      <c r="M88" s="96">
        <v>3550000</v>
      </c>
      <c r="N88" s="96">
        <v>900000</v>
      </c>
      <c r="O88" s="96">
        <v>900000</v>
      </c>
      <c r="P88" s="97">
        <f t="shared" si="5"/>
        <v>3.9444444444444446</v>
      </c>
      <c r="Q88" s="98">
        <v>4.0500000000000001E-2</v>
      </c>
      <c r="R88" s="56"/>
      <c r="S88" s="57">
        <f>O88*J88/$R$10</f>
        <v>37322250.631010182</v>
      </c>
      <c r="T88" s="57"/>
    </row>
    <row r="89" spans="1:21" ht="13.5" customHeight="1">
      <c r="A89" s="100"/>
      <c r="B89" s="101"/>
      <c r="C89" s="91" t="s">
        <v>34</v>
      </c>
      <c r="D89" s="92">
        <v>42840</v>
      </c>
      <c r="E89" s="94">
        <v>6.25E-2</v>
      </c>
      <c r="F89" s="94">
        <v>5.1562499999999997E-2</v>
      </c>
      <c r="G89" s="94">
        <v>5.3037599999999997E-2</v>
      </c>
      <c r="H89" s="94">
        <v>5.5625000000000001E-2</v>
      </c>
      <c r="I89" s="94">
        <v>5.1562499999999997E-2</v>
      </c>
      <c r="J89" s="95">
        <v>5.2581299999999997E-2</v>
      </c>
      <c r="K89" s="95">
        <v>5.3124999999999999E-2</v>
      </c>
      <c r="L89" s="96"/>
      <c r="M89" s="96">
        <v>1562000</v>
      </c>
      <c r="N89" s="96">
        <v>1050000</v>
      </c>
      <c r="O89" s="96">
        <v>1050000</v>
      </c>
      <c r="P89" s="97">
        <f t="shared" si="5"/>
        <v>1.4876190476190476</v>
      </c>
      <c r="Q89" s="98">
        <v>5.2600000000000001E-2</v>
      </c>
      <c r="R89" s="56">
        <v>0</v>
      </c>
      <c r="S89" s="57">
        <v>0</v>
      </c>
      <c r="T89" s="57"/>
    </row>
    <row r="90" spans="1:21" ht="13.5" customHeight="1">
      <c r="A90" s="100"/>
      <c r="B90" s="101"/>
      <c r="C90" s="91" t="s">
        <v>35</v>
      </c>
      <c r="D90" s="92">
        <v>44696</v>
      </c>
      <c r="E90" s="94">
        <v>7.0000000000000007E-2</v>
      </c>
      <c r="F90" s="94">
        <v>5.9687499999999998E-2</v>
      </c>
      <c r="G90" s="94">
        <v>6.0570300000000001E-2</v>
      </c>
      <c r="H90" s="94">
        <v>6.2812499999999993E-2</v>
      </c>
      <c r="I90" s="94">
        <v>5.9687499999999998E-2</v>
      </c>
      <c r="J90" s="95">
        <v>6.02964E-2</v>
      </c>
      <c r="K90" s="95">
        <v>6.0937499999999999E-2</v>
      </c>
      <c r="L90" s="96"/>
      <c r="M90" s="96">
        <v>3747500</v>
      </c>
      <c r="N90" s="96">
        <v>2750000</v>
      </c>
      <c r="O90" s="96">
        <v>2750000</v>
      </c>
      <c r="P90" s="97">
        <f t="shared" si="5"/>
        <v>1.3627272727272728</v>
      </c>
      <c r="Q90" s="98">
        <v>6.0299999999999999E-2</v>
      </c>
      <c r="R90" s="56">
        <v>0</v>
      </c>
      <c r="S90" s="57">
        <v>0</v>
      </c>
      <c r="T90" s="57"/>
    </row>
    <row r="91" spans="1:21" ht="13.5" customHeight="1">
      <c r="A91" s="100"/>
      <c r="B91" s="101"/>
      <c r="C91" s="91" t="s">
        <v>32</v>
      </c>
      <c r="D91" s="92">
        <v>48380</v>
      </c>
      <c r="E91" s="94">
        <v>8.2500000000000004E-2</v>
      </c>
      <c r="F91" s="94">
        <v>6.7812499999999998E-2</v>
      </c>
      <c r="G91" s="94">
        <v>6.8773000000000001E-2</v>
      </c>
      <c r="H91" s="94">
        <v>7.0937500000000001E-2</v>
      </c>
      <c r="I91" s="94">
        <v>6.7812499999999998E-2</v>
      </c>
      <c r="J91" s="95">
        <v>6.8396399999999996E-2</v>
      </c>
      <c r="K91" s="95">
        <v>6.8750000000000006E-2</v>
      </c>
      <c r="L91" s="96"/>
      <c r="M91" s="96">
        <v>5862000</v>
      </c>
      <c r="N91" s="96">
        <v>2850000</v>
      </c>
      <c r="O91" s="96">
        <v>2850000</v>
      </c>
      <c r="P91" s="97">
        <f t="shared" si="5"/>
        <v>2.0568421052631578</v>
      </c>
      <c r="Q91" s="98">
        <v>6.8400000000000002E-2</v>
      </c>
      <c r="R91" s="56">
        <v>1.9887751488813776E-3</v>
      </c>
      <c r="S91" s="57">
        <v>29293528.561597757</v>
      </c>
      <c r="T91" s="62"/>
    </row>
    <row r="92" spans="1:21" ht="13.5" customHeight="1">
      <c r="A92" s="60">
        <v>41037</v>
      </c>
      <c r="B92" s="61">
        <v>41039</v>
      </c>
      <c r="C92" s="18" t="s">
        <v>79</v>
      </c>
      <c r="D92" s="19">
        <v>41222</v>
      </c>
      <c r="E92" s="104"/>
      <c r="F92" s="27">
        <v>3.8124999999999999E-2</v>
      </c>
      <c r="G92" s="27"/>
      <c r="H92" s="27">
        <v>0.05</v>
      </c>
      <c r="I92" s="27"/>
      <c r="J92" s="27">
        <v>3.8288700000000002E-2</v>
      </c>
      <c r="K92" s="28"/>
      <c r="L92" s="22">
        <v>1000000</v>
      </c>
      <c r="M92" s="22">
        <v>1596000</v>
      </c>
      <c r="N92" s="22">
        <v>150000</v>
      </c>
      <c r="O92" s="22">
        <v>150000</v>
      </c>
      <c r="P92" s="69">
        <f t="shared" si="5"/>
        <v>10.64</v>
      </c>
      <c r="Q92" s="56"/>
      <c r="R92" s="56"/>
      <c r="S92" s="57">
        <f>O92*J92/$R$10</f>
        <v>5885276.4670378156</v>
      </c>
      <c r="T92" s="57"/>
    </row>
    <row r="93" spans="1:21" ht="13.5" customHeight="1">
      <c r="A93" s="16"/>
      <c r="B93" s="17"/>
      <c r="C93" s="18" t="s">
        <v>48</v>
      </c>
      <c r="D93" s="19">
        <v>43146</v>
      </c>
      <c r="E93" s="104">
        <v>4.4499999999999998E-2</v>
      </c>
      <c r="F93" s="27">
        <v>5.6250000000000001E-2</v>
      </c>
      <c r="G93" s="27"/>
      <c r="H93" s="27">
        <v>6.5000000000000002E-2</v>
      </c>
      <c r="I93" s="27"/>
      <c r="J93" s="28"/>
      <c r="K93" s="28"/>
      <c r="L93" s="22"/>
      <c r="M93" s="22">
        <v>207000</v>
      </c>
      <c r="N93" s="22"/>
      <c r="O93" s="22"/>
      <c r="P93" s="69"/>
      <c r="Q93" s="56"/>
      <c r="R93" s="56"/>
      <c r="S93" s="57"/>
      <c r="T93" s="57"/>
    </row>
    <row r="94" spans="1:21" ht="13.5" customHeight="1">
      <c r="A94" s="16"/>
      <c r="B94" s="17"/>
      <c r="C94" s="18" t="s">
        <v>49</v>
      </c>
      <c r="D94" s="19">
        <v>44576</v>
      </c>
      <c r="E94" s="104">
        <v>5.45E-2</v>
      </c>
      <c r="F94" s="27">
        <v>6.1874999999999999E-2</v>
      </c>
      <c r="G94" s="27"/>
      <c r="H94" s="27">
        <v>7.0000000000000007E-2</v>
      </c>
      <c r="I94" s="27"/>
      <c r="J94" s="28">
        <v>6.2195100000000003E-2</v>
      </c>
      <c r="K94" s="28"/>
      <c r="L94" s="22"/>
      <c r="M94" s="22">
        <v>361000</v>
      </c>
      <c r="N94" s="22">
        <v>225000</v>
      </c>
      <c r="O94" s="22">
        <v>225000</v>
      </c>
      <c r="P94" s="69">
        <f t="shared" si="5"/>
        <v>1.6044444444444443</v>
      </c>
      <c r="Q94" s="56"/>
      <c r="R94" s="56" t="e">
        <f>O94*J94/$O$43</f>
        <v>#DIV/0!</v>
      </c>
      <c r="S94" s="57">
        <f>O94*J94/$R$10</f>
        <v>14339819.257185424</v>
      </c>
      <c r="T94" s="57"/>
    </row>
    <row r="95" spans="1:21" ht="13.5" customHeight="1">
      <c r="A95" s="16"/>
      <c r="B95" s="17"/>
      <c r="C95" s="18" t="s">
        <v>50</v>
      </c>
      <c r="D95" s="19">
        <v>46402</v>
      </c>
      <c r="E95" s="27">
        <v>0.06</v>
      </c>
      <c r="F95" s="27">
        <v>6.5625000000000003E-2</v>
      </c>
      <c r="G95" s="27"/>
      <c r="H95" s="27">
        <v>7.7499999999999999E-2</v>
      </c>
      <c r="I95" s="27"/>
      <c r="J95" s="28">
        <v>6.6106200000000004E-2</v>
      </c>
      <c r="K95" s="28"/>
      <c r="L95" s="22"/>
      <c r="M95" s="22">
        <v>651000</v>
      </c>
      <c r="N95" s="22">
        <v>640000</v>
      </c>
      <c r="O95" s="22">
        <v>640000</v>
      </c>
      <c r="P95" s="69">
        <f t="shared" si="5"/>
        <v>1.0171874999999999</v>
      </c>
      <c r="Q95" s="108"/>
      <c r="R95" s="56" t="e">
        <f>O95*J95/$O$43</f>
        <v>#DIV/0!</v>
      </c>
      <c r="S95" s="57">
        <f>O95*J95/$R$10</f>
        <v>43353798.629637286</v>
      </c>
      <c r="T95" s="57"/>
    </row>
    <row r="96" spans="1:21" ht="13.5" customHeight="1">
      <c r="A96" s="16"/>
      <c r="B96" s="17"/>
      <c r="C96" s="18" t="s">
        <v>53</v>
      </c>
      <c r="D96" s="19">
        <v>50086</v>
      </c>
      <c r="E96" s="27">
        <v>6.0999999999999999E-2</v>
      </c>
      <c r="F96" s="27">
        <v>6.9375000000000006E-2</v>
      </c>
      <c r="G96" s="27"/>
      <c r="H96" s="27">
        <v>7.1874999999999994E-2</v>
      </c>
      <c r="I96" s="27"/>
      <c r="J96" s="28"/>
      <c r="K96" s="28"/>
      <c r="L96" s="22"/>
      <c r="M96" s="22">
        <v>264000</v>
      </c>
      <c r="N96" s="22"/>
      <c r="O96" s="22"/>
      <c r="P96" s="69"/>
      <c r="Q96" s="108"/>
      <c r="R96" s="56" t="e">
        <f>O96*J96/$O$43</f>
        <v>#DIV/0!</v>
      </c>
      <c r="S96" s="57">
        <f>O96*J96/$R$10</f>
        <v>0</v>
      </c>
      <c r="T96" s="57"/>
    </row>
    <row r="97" spans="1:20" ht="13.5" customHeight="1">
      <c r="A97" s="60">
        <v>41038</v>
      </c>
      <c r="B97" s="61">
        <v>41039</v>
      </c>
      <c r="C97" s="18" t="s">
        <v>80</v>
      </c>
      <c r="D97" s="19">
        <v>41222</v>
      </c>
      <c r="E97" s="27"/>
      <c r="F97" s="27"/>
      <c r="G97" s="27"/>
      <c r="H97" s="27"/>
      <c r="I97" s="27"/>
      <c r="J97" s="27">
        <v>3.8288700000000002E-2</v>
      </c>
      <c r="K97" s="28"/>
      <c r="L97" s="22"/>
      <c r="M97" s="22">
        <v>755000</v>
      </c>
      <c r="N97" s="22">
        <v>755000</v>
      </c>
      <c r="O97" s="22">
        <v>755000</v>
      </c>
      <c r="P97" s="69">
        <f t="shared" si="5"/>
        <v>1</v>
      </c>
      <c r="Q97" s="108"/>
      <c r="R97" s="56"/>
      <c r="S97" s="57"/>
      <c r="T97" s="57"/>
    </row>
    <row r="98" spans="1:20" ht="13.5" customHeight="1">
      <c r="A98" s="124">
        <v>41043</v>
      </c>
      <c r="B98" s="124">
        <v>41045</v>
      </c>
      <c r="C98" s="125" t="s">
        <v>81</v>
      </c>
      <c r="D98" s="126">
        <v>41108</v>
      </c>
      <c r="E98" s="127">
        <v>0</v>
      </c>
      <c r="F98" s="128">
        <v>3.5000000000000003E-2</v>
      </c>
      <c r="G98" s="128">
        <v>4.0708599999999998E-2</v>
      </c>
      <c r="H98" s="128">
        <v>4.2500000000000003E-2</v>
      </c>
      <c r="I98" s="128"/>
      <c r="J98" s="129"/>
      <c r="K98" s="129"/>
      <c r="L98" s="130">
        <v>6000000</v>
      </c>
      <c r="M98" s="130">
        <v>2655000</v>
      </c>
      <c r="N98" s="130">
        <v>0</v>
      </c>
      <c r="O98" s="130">
        <v>0</v>
      </c>
      <c r="P98" s="131">
        <v>0</v>
      </c>
      <c r="Q98" s="132">
        <v>3.2899999999999999E-2</v>
      </c>
      <c r="R98" s="56"/>
      <c r="S98" s="57">
        <f>O98*J98/$R$10</f>
        <v>0</v>
      </c>
      <c r="T98" s="57"/>
    </row>
    <row r="99" spans="1:20" ht="13.5" customHeight="1">
      <c r="A99" s="100"/>
      <c r="B99" s="99"/>
      <c r="C99" s="91" t="s">
        <v>82</v>
      </c>
      <c r="D99" s="92">
        <v>41368</v>
      </c>
      <c r="E99" s="93">
        <v>0</v>
      </c>
      <c r="F99" s="94">
        <v>4.1875000000000002E-2</v>
      </c>
      <c r="G99" s="94">
        <v>4.6793800000000003E-2</v>
      </c>
      <c r="H99" s="94">
        <v>0.05</v>
      </c>
      <c r="I99" s="94"/>
      <c r="J99" s="95"/>
      <c r="K99" s="95"/>
      <c r="L99" s="96"/>
      <c r="M99" s="96">
        <v>2780000</v>
      </c>
      <c r="N99" s="96">
        <v>0</v>
      </c>
      <c r="O99" s="96">
        <v>0</v>
      </c>
      <c r="P99" s="97">
        <v>0</v>
      </c>
      <c r="Q99" s="98">
        <v>3.9699999999999999E-2</v>
      </c>
      <c r="R99" s="56"/>
      <c r="S99" s="57"/>
      <c r="T99" s="57"/>
    </row>
    <row r="100" spans="1:20" ht="13.5" customHeight="1">
      <c r="A100" s="100"/>
      <c r="B100" s="101"/>
      <c r="C100" s="91" t="s">
        <v>35</v>
      </c>
      <c r="D100" s="92">
        <v>44696</v>
      </c>
      <c r="E100" s="94">
        <v>7.0000000000000007E-2</v>
      </c>
      <c r="F100" s="94">
        <v>6.2812499999999993E-2</v>
      </c>
      <c r="G100" s="94">
        <v>6.4113299999999998E-2</v>
      </c>
      <c r="H100" s="94">
        <v>6.5937499999999996E-2</v>
      </c>
      <c r="I100" s="94">
        <v>6.2812499999999993E-2</v>
      </c>
      <c r="J100" s="95">
        <v>6.2980800000000003E-2</v>
      </c>
      <c r="K100" s="95">
        <v>6.3125000000000001E-2</v>
      </c>
      <c r="L100" s="96"/>
      <c r="M100" s="96">
        <v>3511000</v>
      </c>
      <c r="N100" s="96">
        <v>500000</v>
      </c>
      <c r="O100" s="96">
        <v>500000</v>
      </c>
      <c r="P100" s="97">
        <f>M100/O100</f>
        <v>7.0220000000000002</v>
      </c>
      <c r="Q100" s="98">
        <v>6.3E-2</v>
      </c>
      <c r="R100" s="56">
        <v>0</v>
      </c>
      <c r="S100" s="57">
        <v>0</v>
      </c>
      <c r="T100" s="57"/>
    </row>
    <row r="101" spans="1:20" ht="13.5" customHeight="1">
      <c r="A101" s="100"/>
      <c r="B101" s="101"/>
      <c r="C101" s="91" t="s">
        <v>43</v>
      </c>
      <c r="D101" s="92">
        <v>46522</v>
      </c>
      <c r="E101" s="94">
        <v>7.0000000000000007E-2</v>
      </c>
      <c r="F101" s="94">
        <v>6.6875000000000004E-2</v>
      </c>
      <c r="G101" s="94">
        <v>6.7849499999999993E-2</v>
      </c>
      <c r="H101" s="94">
        <v>7.0000000000000007E-2</v>
      </c>
      <c r="I101" s="94">
        <v>6.6875000000000004E-2</v>
      </c>
      <c r="J101" s="94">
        <v>6.6875000000000004E-2</v>
      </c>
      <c r="K101" s="94">
        <v>6.6875000000000004E-2</v>
      </c>
      <c r="L101" s="96"/>
      <c r="M101" s="96">
        <v>2100000</v>
      </c>
      <c r="N101" s="96">
        <v>300000</v>
      </c>
      <c r="O101" s="96">
        <v>275000</v>
      </c>
      <c r="P101" s="97">
        <f>M101/O101</f>
        <v>7.6363636363636367</v>
      </c>
      <c r="Q101" s="98">
        <v>6.6900000000000001E-2</v>
      </c>
      <c r="R101" s="56">
        <v>0</v>
      </c>
      <c r="S101" s="57">
        <v>0</v>
      </c>
      <c r="T101" s="57"/>
    </row>
    <row r="102" spans="1:20" ht="13.5" customHeight="1">
      <c r="A102" s="133"/>
      <c r="B102" s="153"/>
      <c r="C102" s="135" t="s">
        <v>32</v>
      </c>
      <c r="D102" s="136">
        <v>48380</v>
      </c>
      <c r="E102" s="138">
        <v>8.2500000000000004E-2</v>
      </c>
      <c r="F102" s="138">
        <v>7.0000000000000007E-2</v>
      </c>
      <c r="G102" s="138">
        <v>7.1698100000000001E-2</v>
      </c>
      <c r="H102" s="138">
        <v>7.4999999999999997E-2</v>
      </c>
      <c r="I102" s="138"/>
      <c r="J102" s="139"/>
      <c r="K102" s="139"/>
      <c r="L102" s="140"/>
      <c r="M102" s="140">
        <v>2263000</v>
      </c>
      <c r="N102" s="140">
        <v>0</v>
      </c>
      <c r="O102" s="140">
        <v>0</v>
      </c>
      <c r="P102" s="141"/>
      <c r="Q102" s="142">
        <v>6.9500000000000006E-2</v>
      </c>
      <c r="R102" s="56">
        <v>1.9887751488813776E-3</v>
      </c>
      <c r="S102" s="57">
        <v>29293528.561597757</v>
      </c>
      <c r="T102" s="62"/>
    </row>
    <row r="103" spans="1:20" ht="13.5" customHeight="1">
      <c r="A103" s="60">
        <v>41051</v>
      </c>
      <c r="B103" s="61">
        <v>41053</v>
      </c>
      <c r="C103" s="18" t="s">
        <v>48</v>
      </c>
      <c r="D103" s="19">
        <v>43146</v>
      </c>
      <c r="E103" s="104">
        <v>4.4499999999999998E-2</v>
      </c>
      <c r="F103" s="27"/>
      <c r="G103" s="27"/>
      <c r="H103" s="27"/>
      <c r="I103" s="27"/>
      <c r="J103" s="28"/>
      <c r="K103" s="28"/>
      <c r="L103" s="22">
        <v>1000000</v>
      </c>
      <c r="M103" s="22">
        <v>145000</v>
      </c>
      <c r="N103" s="22">
        <v>115000</v>
      </c>
      <c r="O103" s="22">
        <v>115000</v>
      </c>
      <c r="P103" s="69"/>
      <c r="Q103" s="56"/>
      <c r="R103" s="56"/>
      <c r="S103" s="57">
        <f>O103*J103/$R$10</f>
        <v>0</v>
      </c>
      <c r="T103" s="57"/>
    </row>
    <row r="104" spans="1:20" ht="13.5" customHeight="1">
      <c r="A104" s="16"/>
      <c r="B104" s="17"/>
      <c r="C104" s="18" t="s">
        <v>49</v>
      </c>
      <c r="D104" s="19">
        <v>44576</v>
      </c>
      <c r="E104" s="104">
        <v>5.45E-2</v>
      </c>
      <c r="F104" s="27"/>
      <c r="G104" s="27"/>
      <c r="H104" s="27"/>
      <c r="I104" s="27"/>
      <c r="J104" s="28"/>
      <c r="K104" s="28"/>
      <c r="L104" s="22"/>
      <c r="M104" s="22">
        <v>306000</v>
      </c>
      <c r="N104" s="22">
        <v>105000</v>
      </c>
      <c r="O104" s="22">
        <v>105000</v>
      </c>
      <c r="P104" s="69"/>
      <c r="Q104" s="56"/>
      <c r="R104" s="56"/>
      <c r="S104" s="57"/>
      <c r="T104" s="57"/>
    </row>
    <row r="105" spans="1:20" ht="13.5" customHeight="1">
      <c r="A105" s="16"/>
      <c r="B105" s="17"/>
      <c r="C105" s="18" t="s">
        <v>50</v>
      </c>
      <c r="D105" s="19">
        <v>46402</v>
      </c>
      <c r="E105" s="27">
        <v>0.06</v>
      </c>
      <c r="F105" s="27"/>
      <c r="G105" s="27"/>
      <c r="H105" s="27"/>
      <c r="I105" s="27"/>
      <c r="J105" s="28"/>
      <c r="K105" s="28"/>
      <c r="L105" s="22"/>
      <c r="M105" s="22">
        <v>124000</v>
      </c>
      <c r="N105" s="22"/>
      <c r="O105" s="22"/>
      <c r="P105" s="69"/>
      <c r="Q105" s="108"/>
      <c r="R105" s="56" t="e">
        <f>O105*J105/$O$43</f>
        <v>#DIV/0!</v>
      </c>
      <c r="S105" s="57">
        <f>O105*J105/$R$10</f>
        <v>0</v>
      </c>
      <c r="T105" s="57"/>
    </row>
    <row r="106" spans="1:20" ht="13.5" customHeight="1">
      <c r="A106" s="16"/>
      <c r="B106" s="17"/>
      <c r="C106" s="18" t="s">
        <v>53</v>
      </c>
      <c r="D106" s="19">
        <v>50086</v>
      </c>
      <c r="E106" s="27">
        <v>6.0999999999999999E-2</v>
      </c>
      <c r="F106" s="27"/>
      <c r="G106" s="27"/>
      <c r="H106" s="27"/>
      <c r="I106" s="27"/>
      <c r="J106" s="28"/>
      <c r="K106" s="28"/>
      <c r="L106" s="22"/>
      <c r="M106" s="22">
        <v>843000</v>
      </c>
      <c r="N106" s="22">
        <v>330000</v>
      </c>
      <c r="O106" s="22">
        <v>330000</v>
      </c>
      <c r="P106" s="69"/>
      <c r="Q106" s="108"/>
      <c r="R106" s="56" t="e">
        <f>O106*J106/$O$43</f>
        <v>#DIV/0!</v>
      </c>
      <c r="S106" s="57">
        <f>O106*J106/$R$10</f>
        <v>0</v>
      </c>
      <c r="T106" s="57"/>
    </row>
    <row r="107" spans="1:20" ht="13.5" customHeight="1">
      <c r="A107" s="60">
        <v>41059</v>
      </c>
      <c r="B107" s="61">
        <v>41059</v>
      </c>
      <c r="C107" s="18" t="s">
        <v>84</v>
      </c>
      <c r="D107" s="19">
        <v>43250</v>
      </c>
      <c r="E107" s="27">
        <v>6.0600000000000001E-2</v>
      </c>
      <c r="F107" s="27"/>
      <c r="G107" s="27"/>
      <c r="H107" s="27"/>
      <c r="I107" s="27"/>
      <c r="J107" s="27">
        <v>6.0600000000000001E-2</v>
      </c>
      <c r="K107" s="28"/>
      <c r="L107" s="22"/>
      <c r="M107" s="22">
        <v>2500000</v>
      </c>
      <c r="N107" s="22">
        <v>2500000</v>
      </c>
      <c r="O107" s="22">
        <v>2500000</v>
      </c>
      <c r="P107" s="69">
        <f>M107/O107</f>
        <v>1</v>
      </c>
      <c r="Q107" s="108"/>
      <c r="R107" s="56"/>
      <c r="S107" s="57"/>
      <c r="T107" s="57"/>
    </row>
    <row r="108" spans="1:20" ht="13.5" customHeight="1">
      <c r="A108" s="124">
        <v>41065</v>
      </c>
      <c r="B108" s="124">
        <v>41067</v>
      </c>
      <c r="C108" s="125" t="s">
        <v>83</v>
      </c>
      <c r="D108" s="126">
        <v>41431</v>
      </c>
      <c r="E108" s="127">
        <v>0</v>
      </c>
      <c r="F108" s="128">
        <v>4.1250000000000002E-2</v>
      </c>
      <c r="G108" s="128">
        <v>4.5435400000000001E-2</v>
      </c>
      <c r="H108" s="128">
        <v>4.8125000000000001E-2</v>
      </c>
      <c r="I108" s="94">
        <v>4.1250000000000002E-2</v>
      </c>
      <c r="J108" s="94">
        <v>4.1250000000000002E-2</v>
      </c>
      <c r="K108" s="94">
        <v>4.1250000000000002E-2</v>
      </c>
      <c r="L108" s="130">
        <v>5000000</v>
      </c>
      <c r="M108" s="130">
        <v>2425000</v>
      </c>
      <c r="N108" s="130">
        <v>1780000</v>
      </c>
      <c r="O108" s="130">
        <v>730000</v>
      </c>
      <c r="P108" s="97">
        <f t="shared" ref="P108:P113" si="6">M108/O108</f>
        <v>3.3219178082191783</v>
      </c>
      <c r="Q108" s="132">
        <v>4.4499999999999998E-2</v>
      </c>
      <c r="R108" s="56"/>
      <c r="S108" s="57">
        <f>O108*J108/$R$10</f>
        <v>30856865.100090668</v>
      </c>
      <c r="T108" s="57"/>
    </row>
    <row r="109" spans="1:20" ht="13.5" customHeight="1">
      <c r="A109" s="100"/>
      <c r="B109" s="99"/>
      <c r="C109" s="91" t="s">
        <v>34</v>
      </c>
      <c r="D109" s="92">
        <v>42840</v>
      </c>
      <c r="E109" s="94">
        <v>6.25E-2</v>
      </c>
      <c r="F109" s="94">
        <v>5.4062499999999999E-2</v>
      </c>
      <c r="G109" s="94">
        <v>5.6661599999999999E-2</v>
      </c>
      <c r="H109" s="94">
        <v>0.06</v>
      </c>
      <c r="I109" s="94">
        <v>5.4062499999999999E-2</v>
      </c>
      <c r="J109" s="94">
        <v>5.5689500000000003E-2</v>
      </c>
      <c r="K109" s="94">
        <v>5.6562500000000002E-2</v>
      </c>
      <c r="L109" s="96"/>
      <c r="M109" s="96">
        <v>2680000</v>
      </c>
      <c r="N109" s="96">
        <v>1550000</v>
      </c>
      <c r="O109" s="96">
        <v>1550000</v>
      </c>
      <c r="P109" s="97">
        <f t="shared" si="6"/>
        <v>1.7290322580645161</v>
      </c>
      <c r="Q109" s="98">
        <v>5.57E-2</v>
      </c>
      <c r="R109" s="56"/>
      <c r="S109" s="57"/>
      <c r="T109" s="57"/>
    </row>
    <row r="110" spans="1:20" ht="13.5" customHeight="1">
      <c r="A110" s="100"/>
      <c r="B110" s="101"/>
      <c r="C110" s="91" t="s">
        <v>35</v>
      </c>
      <c r="D110" s="92">
        <v>44696</v>
      </c>
      <c r="E110" s="94">
        <v>7.0000000000000007E-2</v>
      </c>
      <c r="F110" s="94">
        <v>6.4375000000000002E-2</v>
      </c>
      <c r="G110" s="94">
        <v>6.53035E-2</v>
      </c>
      <c r="H110" s="94">
        <v>6.8750000000000006E-2</v>
      </c>
      <c r="I110" s="94">
        <v>6.4375000000000002E-2</v>
      </c>
      <c r="J110" s="94">
        <v>6.5028199999999994E-2</v>
      </c>
      <c r="K110" s="94">
        <v>6.5625000000000003E-2</v>
      </c>
      <c r="L110" s="96"/>
      <c r="M110" s="96">
        <v>4652000</v>
      </c>
      <c r="N110" s="96">
        <v>3800000</v>
      </c>
      <c r="O110" s="96">
        <v>3500000</v>
      </c>
      <c r="P110" s="97">
        <f t="shared" si="6"/>
        <v>1.3291428571428572</v>
      </c>
      <c r="Q110" s="98">
        <v>6.5100000000000005E-2</v>
      </c>
      <c r="R110" s="56">
        <v>0</v>
      </c>
      <c r="S110" s="57">
        <v>0</v>
      </c>
      <c r="T110" s="57"/>
    </row>
    <row r="111" spans="1:20" ht="13.5" customHeight="1">
      <c r="A111" s="100"/>
      <c r="B111" s="101"/>
      <c r="C111" s="135" t="s">
        <v>32</v>
      </c>
      <c r="D111" s="136">
        <v>48380</v>
      </c>
      <c r="E111" s="138">
        <v>8.2500000000000004E-2</v>
      </c>
      <c r="F111" s="94">
        <v>7.2187500000000002E-2</v>
      </c>
      <c r="G111" s="94">
        <v>7.2802599999999995E-2</v>
      </c>
      <c r="H111" s="94">
        <v>7.3749999999999996E-2</v>
      </c>
      <c r="I111" s="94">
        <v>7.2187500000000002E-2</v>
      </c>
      <c r="J111" s="94">
        <v>7.2480900000000001E-2</v>
      </c>
      <c r="K111" s="94">
        <v>7.2499999999999995E-2</v>
      </c>
      <c r="L111" s="96"/>
      <c r="M111" s="96">
        <v>4410000</v>
      </c>
      <c r="N111" s="96">
        <v>1900000</v>
      </c>
      <c r="O111" s="96">
        <v>1720000</v>
      </c>
      <c r="P111" s="97">
        <f t="shared" si="6"/>
        <v>2.5639534883720931</v>
      </c>
      <c r="Q111" s="98">
        <v>7.2499999999999995E-2</v>
      </c>
      <c r="R111" s="56">
        <v>0</v>
      </c>
      <c r="S111" s="57">
        <v>0</v>
      </c>
      <c r="T111" s="57"/>
    </row>
    <row r="112" spans="1:20" ht="13.5" customHeight="1">
      <c r="A112" s="60">
        <v>41072</v>
      </c>
      <c r="B112" s="61">
        <v>41074</v>
      </c>
      <c r="C112" s="18" t="s">
        <v>85</v>
      </c>
      <c r="D112" s="19"/>
      <c r="E112" s="104"/>
      <c r="F112" s="27"/>
      <c r="G112" s="27"/>
      <c r="H112" s="27"/>
      <c r="I112" s="27"/>
      <c r="J112" s="27"/>
      <c r="K112" s="28"/>
      <c r="L112" s="22">
        <v>1000000</v>
      </c>
      <c r="M112" s="22">
        <v>726000</v>
      </c>
      <c r="N112" s="22"/>
      <c r="O112" s="22"/>
      <c r="P112" s="69"/>
      <c r="Q112" s="56"/>
      <c r="R112" s="56"/>
      <c r="S112" s="57">
        <f>O112*J112/$R$10</f>
        <v>0</v>
      </c>
      <c r="T112" s="57"/>
    </row>
    <row r="113" spans="1:20" ht="13.5" customHeight="1">
      <c r="A113" s="16"/>
      <c r="B113" s="17"/>
      <c r="C113" s="18" t="s">
        <v>48</v>
      </c>
      <c r="D113" s="19">
        <v>43146</v>
      </c>
      <c r="E113" s="104">
        <v>4.4499999999999998E-2</v>
      </c>
      <c r="F113" s="27"/>
      <c r="G113" s="27"/>
      <c r="H113" s="27"/>
      <c r="I113" s="27"/>
      <c r="J113" s="28"/>
      <c r="K113" s="28"/>
      <c r="L113" s="22"/>
      <c r="M113" s="22">
        <v>1146000</v>
      </c>
      <c r="N113" s="22"/>
      <c r="O113" s="22">
        <v>800000</v>
      </c>
      <c r="P113" s="69">
        <f t="shared" si="6"/>
        <v>1.4325000000000001</v>
      </c>
      <c r="Q113" s="56"/>
      <c r="R113" s="56"/>
      <c r="S113" s="57"/>
      <c r="T113" s="57"/>
    </row>
    <row r="114" spans="1:20" ht="13.5" customHeight="1">
      <c r="A114" s="16"/>
      <c r="B114" s="17"/>
      <c r="C114" s="18" t="s">
        <v>49</v>
      </c>
      <c r="D114" s="19">
        <v>44576</v>
      </c>
      <c r="E114" s="104">
        <v>5.45E-2</v>
      </c>
      <c r="F114" s="27"/>
      <c r="G114" s="27"/>
      <c r="H114" s="27"/>
      <c r="I114" s="27"/>
      <c r="J114" s="28"/>
      <c r="K114" s="28"/>
      <c r="L114" s="22"/>
      <c r="M114" s="22">
        <v>101000</v>
      </c>
      <c r="N114" s="22"/>
      <c r="O114" s="22"/>
      <c r="P114" s="69"/>
      <c r="Q114" s="56"/>
      <c r="R114" s="56" t="e">
        <f>O114*J114/$O$43</f>
        <v>#DIV/0!</v>
      </c>
      <c r="S114" s="57">
        <f>O114*J114/$R$10</f>
        <v>0</v>
      </c>
      <c r="T114" s="57"/>
    </row>
    <row r="115" spans="1:20" ht="13.5" customHeight="1">
      <c r="A115" s="16"/>
      <c r="B115" s="17"/>
      <c r="C115" s="18" t="s">
        <v>50</v>
      </c>
      <c r="D115" s="19">
        <v>46402</v>
      </c>
      <c r="E115" s="27">
        <v>0.06</v>
      </c>
      <c r="F115" s="27"/>
      <c r="G115" s="27"/>
      <c r="H115" s="27"/>
      <c r="I115" s="27"/>
      <c r="J115" s="28"/>
      <c r="K115" s="28"/>
      <c r="L115" s="22"/>
      <c r="M115" s="22">
        <v>31000</v>
      </c>
      <c r="N115" s="22"/>
      <c r="O115" s="22"/>
      <c r="P115" s="69"/>
      <c r="Q115" s="108"/>
      <c r="R115" s="56" t="e">
        <f>O115*J115/$O$43</f>
        <v>#DIV/0!</v>
      </c>
      <c r="S115" s="57">
        <f>O115*J115/$R$10</f>
        <v>0</v>
      </c>
      <c r="T115" s="57"/>
    </row>
    <row r="116" spans="1:20" ht="13.5" customHeight="1">
      <c r="A116" s="16"/>
      <c r="B116" s="17"/>
      <c r="C116" s="18" t="s">
        <v>53</v>
      </c>
      <c r="D116" s="19">
        <v>50086</v>
      </c>
      <c r="E116" s="27">
        <v>6.0999999999999999E-2</v>
      </c>
      <c r="F116" s="27"/>
      <c r="G116" s="27"/>
      <c r="H116" s="27"/>
      <c r="I116" s="27"/>
      <c r="J116" s="28"/>
      <c r="K116" s="28"/>
      <c r="L116" s="22"/>
      <c r="M116" s="22">
        <v>259000</v>
      </c>
      <c r="N116" s="22"/>
      <c r="O116" s="22"/>
      <c r="P116" s="69"/>
      <c r="Q116" s="108"/>
      <c r="R116" s="56" t="e">
        <f>O116*J116/$O$43</f>
        <v>#DIV/0!</v>
      </c>
      <c r="S116" s="57">
        <f>O116*J116/$R$10</f>
        <v>0</v>
      </c>
      <c r="T116" s="57"/>
    </row>
    <row r="117" spans="1:20" ht="13.5" customHeight="1">
      <c r="A117" s="124">
        <v>41079</v>
      </c>
      <c r="B117" s="124">
        <v>41081</v>
      </c>
      <c r="C117" s="125" t="s">
        <v>86</v>
      </c>
      <c r="D117" s="126">
        <v>41172</v>
      </c>
      <c r="E117" s="127">
        <v>0</v>
      </c>
      <c r="F117" s="128">
        <v>3.8124999999999999E-2</v>
      </c>
      <c r="G117" s="128">
        <v>4.0517400000000002E-2</v>
      </c>
      <c r="H117" s="128">
        <v>4.2812500000000003E-2</v>
      </c>
      <c r="I117" s="128">
        <v>3.8124999999999999E-2</v>
      </c>
      <c r="J117" s="129">
        <v>3.8978100000000002E-2</v>
      </c>
      <c r="K117" s="129">
        <v>3.9375E-2</v>
      </c>
      <c r="L117" s="130">
        <v>5000000</v>
      </c>
      <c r="M117" s="130">
        <v>1685000</v>
      </c>
      <c r="N117" s="130">
        <v>500000</v>
      </c>
      <c r="O117" s="130">
        <v>500000</v>
      </c>
      <c r="P117" s="97">
        <f t="shared" ref="P117:P122" si="7">M117/O117</f>
        <v>3.37</v>
      </c>
      <c r="Q117" s="132">
        <v>3.9E-2</v>
      </c>
      <c r="R117" s="56"/>
      <c r="S117" s="57">
        <f>O117*J117/$R$10</f>
        <v>19970809.025451954</v>
      </c>
      <c r="T117" s="57"/>
    </row>
    <row r="118" spans="1:20" ht="13.5" customHeight="1">
      <c r="A118" s="100"/>
      <c r="B118" s="99"/>
      <c r="C118" s="125" t="s">
        <v>87</v>
      </c>
      <c r="D118" s="126">
        <v>41431</v>
      </c>
      <c r="E118" s="93">
        <v>0</v>
      </c>
      <c r="F118" s="94">
        <v>4.2500000000000003E-2</v>
      </c>
      <c r="G118" s="94">
        <v>4.4346900000000002E-2</v>
      </c>
      <c r="H118" s="94">
        <v>4.8750000000000002E-2</v>
      </c>
      <c r="I118" s="94">
        <v>4.2500000000000003E-2</v>
      </c>
      <c r="J118" s="95">
        <v>4.3333299999999998E-2</v>
      </c>
      <c r="K118" s="95">
        <v>4.3749999999999997E-2</v>
      </c>
      <c r="L118" s="96"/>
      <c r="M118" s="96">
        <v>1271400</v>
      </c>
      <c r="N118" s="96">
        <v>1250000</v>
      </c>
      <c r="O118" s="96">
        <v>1150000</v>
      </c>
      <c r="P118" s="97">
        <f t="shared" si="7"/>
        <v>1.1055652173913044</v>
      </c>
      <c r="Q118" s="98">
        <v>4.3999999999999997E-2</v>
      </c>
      <c r="R118" s="56"/>
      <c r="S118" s="57"/>
      <c r="T118" s="57"/>
    </row>
    <row r="119" spans="1:20" ht="13.5" customHeight="1">
      <c r="A119" s="100"/>
      <c r="B119" s="101"/>
      <c r="C119" s="91" t="s">
        <v>35</v>
      </c>
      <c r="D119" s="92">
        <v>44696</v>
      </c>
      <c r="E119" s="94">
        <v>7.0000000000000007E-2</v>
      </c>
      <c r="F119" s="94">
        <v>6.3437499999999994E-2</v>
      </c>
      <c r="G119" s="94">
        <v>6.4400700000000005E-2</v>
      </c>
      <c r="H119" s="94">
        <v>6.5625000000000003E-2</v>
      </c>
      <c r="I119" s="94">
        <v>6.3437499999999994E-2</v>
      </c>
      <c r="J119" s="95">
        <v>6.3898899999999995E-2</v>
      </c>
      <c r="K119" s="95">
        <v>6.4062499999999994E-2</v>
      </c>
      <c r="L119" s="96"/>
      <c r="M119" s="96">
        <v>4972000</v>
      </c>
      <c r="N119" s="96">
        <v>950000</v>
      </c>
      <c r="O119" s="96">
        <v>950000</v>
      </c>
      <c r="P119" s="97">
        <f t="shared" si="7"/>
        <v>5.2336842105263157</v>
      </c>
      <c r="Q119" s="98">
        <v>6.3899999999999998E-2</v>
      </c>
      <c r="R119" s="56">
        <v>0</v>
      </c>
      <c r="S119" s="57">
        <v>0</v>
      </c>
      <c r="T119" s="57"/>
    </row>
    <row r="120" spans="1:20" ht="13.5" customHeight="1">
      <c r="A120" s="100"/>
      <c r="B120" s="101"/>
      <c r="C120" s="91" t="s">
        <v>43</v>
      </c>
      <c r="D120" s="92">
        <v>46522</v>
      </c>
      <c r="E120" s="94">
        <v>7.0000000000000007E-2</v>
      </c>
      <c r="F120" s="94">
        <v>6.7187499999999997E-2</v>
      </c>
      <c r="G120" s="94">
        <v>6.7648200000000006E-2</v>
      </c>
      <c r="H120" s="94">
        <v>6.9062499999999999E-2</v>
      </c>
      <c r="I120" s="94">
        <v>6.7187499999999997E-2</v>
      </c>
      <c r="J120" s="94">
        <v>6.7388000000000003E-2</v>
      </c>
      <c r="K120" s="94">
        <v>6.7812499999999998E-2</v>
      </c>
      <c r="L120" s="96"/>
      <c r="M120" s="96">
        <v>2540000</v>
      </c>
      <c r="N120" s="96">
        <v>1600000</v>
      </c>
      <c r="O120" s="96">
        <v>1600000</v>
      </c>
      <c r="P120" s="97">
        <f t="shared" si="7"/>
        <v>1.5874999999999999</v>
      </c>
      <c r="Q120" s="98">
        <v>6.7400000000000002E-2</v>
      </c>
      <c r="R120" s="56">
        <v>0</v>
      </c>
      <c r="S120" s="57">
        <v>0</v>
      </c>
      <c r="T120" s="57"/>
    </row>
    <row r="121" spans="1:20" ht="13.5" customHeight="1">
      <c r="A121" s="133"/>
      <c r="B121" s="153"/>
      <c r="C121" s="135" t="s">
        <v>32</v>
      </c>
      <c r="D121" s="136">
        <v>48380</v>
      </c>
      <c r="E121" s="138">
        <v>8.2500000000000004E-2</v>
      </c>
      <c r="F121" s="138">
        <v>7.03125E-2</v>
      </c>
      <c r="G121" s="138">
        <v>7.1506700000000006E-2</v>
      </c>
      <c r="H121" s="138">
        <v>7.2499999999999995E-2</v>
      </c>
      <c r="I121" s="138">
        <v>7.03125E-2</v>
      </c>
      <c r="J121" s="139">
        <v>7.1447399999999994E-2</v>
      </c>
      <c r="K121" s="139">
        <v>7.1874999999999994E-2</v>
      </c>
      <c r="L121" s="140"/>
      <c r="M121" s="140">
        <v>2848000</v>
      </c>
      <c r="N121" s="140">
        <v>2800000</v>
      </c>
      <c r="O121" s="140">
        <v>2650000</v>
      </c>
      <c r="P121" s="97">
        <f t="shared" si="7"/>
        <v>1.0747169811320754</v>
      </c>
      <c r="Q121" s="142">
        <v>7.1499999999999994E-2</v>
      </c>
      <c r="R121" s="56">
        <v>1.9887751488813776E-3</v>
      </c>
      <c r="S121" s="57">
        <v>29293528.561597757</v>
      </c>
      <c r="T121" s="62"/>
    </row>
    <row r="122" spans="1:20" ht="13.5" customHeight="1">
      <c r="A122" s="60">
        <v>41086</v>
      </c>
      <c r="B122" s="61">
        <v>41088</v>
      </c>
      <c r="C122" s="18" t="s">
        <v>48</v>
      </c>
      <c r="D122" s="19">
        <v>43146</v>
      </c>
      <c r="E122" s="104">
        <v>4.4499999999999998E-2</v>
      </c>
      <c r="F122" s="27">
        <v>5.8125000000000003E-2</v>
      </c>
      <c r="G122" s="27"/>
      <c r="H122" s="27">
        <v>7.0000000000000007E-2</v>
      </c>
      <c r="I122" s="27"/>
      <c r="J122" s="27">
        <v>5.90935E-2</v>
      </c>
      <c r="K122" s="28"/>
      <c r="L122" s="22">
        <v>1000000</v>
      </c>
      <c r="M122" s="22">
        <v>916000</v>
      </c>
      <c r="N122" s="22"/>
      <c r="O122" s="22">
        <v>655000</v>
      </c>
      <c r="P122" s="69">
        <f t="shared" si="7"/>
        <v>1.3984732824427482</v>
      </c>
      <c r="Q122" s="56"/>
      <c r="R122" s="56"/>
      <c r="S122" s="57">
        <f>O122*J122/$R$10</f>
        <v>39663040.377049267</v>
      </c>
      <c r="T122" s="57"/>
    </row>
    <row r="123" spans="1:20" ht="13.5" customHeight="1">
      <c r="A123" s="16"/>
      <c r="B123" s="17"/>
      <c r="C123" s="18" t="s">
        <v>49</v>
      </c>
      <c r="D123" s="19">
        <v>44576</v>
      </c>
      <c r="E123" s="104">
        <v>5.45E-2</v>
      </c>
      <c r="F123" s="27">
        <v>6.5312499999999996E-2</v>
      </c>
      <c r="G123" s="27"/>
      <c r="H123" s="27">
        <v>7.0000000000000007E-2</v>
      </c>
      <c r="I123" s="27"/>
      <c r="J123" s="28"/>
      <c r="K123" s="28"/>
      <c r="L123" s="22"/>
      <c r="M123" s="22">
        <v>266000</v>
      </c>
      <c r="N123" s="22"/>
      <c r="O123" s="22"/>
      <c r="P123" s="69"/>
      <c r="Q123" s="56"/>
      <c r="R123" s="56"/>
      <c r="S123" s="57"/>
      <c r="T123" s="57"/>
    </row>
    <row r="124" spans="1:20" ht="13.5" customHeight="1">
      <c r="A124" s="16"/>
      <c r="B124" s="17"/>
      <c r="C124" s="18" t="s">
        <v>50</v>
      </c>
      <c r="D124" s="19">
        <v>46402</v>
      </c>
      <c r="E124" s="27">
        <v>0.06</v>
      </c>
      <c r="F124" s="27">
        <v>6.9375000000000006E-2</v>
      </c>
      <c r="G124" s="27"/>
      <c r="H124" s="27">
        <v>7.4999999999999997E-2</v>
      </c>
      <c r="I124" s="27"/>
      <c r="J124" s="28"/>
      <c r="K124" s="28"/>
      <c r="L124" s="22"/>
      <c r="M124" s="22">
        <v>261000</v>
      </c>
      <c r="N124" s="22"/>
      <c r="O124" s="22"/>
      <c r="P124" s="69"/>
      <c r="Q124" s="56"/>
      <c r="R124" s="56" t="e">
        <f>O124*J124/$O$43</f>
        <v>#DIV/0!</v>
      </c>
      <c r="S124" s="57">
        <f>O124*J124/$R$10</f>
        <v>0</v>
      </c>
      <c r="T124" s="57"/>
    </row>
    <row r="125" spans="1:20" ht="13.5" customHeight="1">
      <c r="A125" s="16"/>
      <c r="B125" s="17"/>
      <c r="C125" s="18" t="s">
        <v>53</v>
      </c>
      <c r="D125" s="19">
        <v>50086</v>
      </c>
      <c r="E125" s="27">
        <v>6.0999999999999999E-2</v>
      </c>
      <c r="F125" s="27">
        <v>7.2812500000000002E-2</v>
      </c>
      <c r="G125" s="27"/>
      <c r="H125" s="27">
        <v>7.8750000000000001E-2</v>
      </c>
      <c r="I125" s="27"/>
      <c r="J125" s="28"/>
      <c r="K125" s="28"/>
      <c r="L125" s="22"/>
      <c r="M125" s="22">
        <v>150000</v>
      </c>
      <c r="N125" s="22"/>
      <c r="O125" s="22"/>
      <c r="P125" s="69"/>
      <c r="Q125" s="108"/>
      <c r="R125" s="56" t="e">
        <f>O125*J125/$O$43</f>
        <v>#DIV/0!</v>
      </c>
      <c r="S125" s="57">
        <f>O125*J125/$R$10</f>
        <v>0</v>
      </c>
      <c r="T125" s="57"/>
    </row>
    <row r="126" spans="1:20" ht="13.5" customHeight="1">
      <c r="A126" s="60">
        <v>41088</v>
      </c>
      <c r="B126" s="61">
        <v>41088</v>
      </c>
      <c r="C126" s="18" t="s">
        <v>103</v>
      </c>
      <c r="D126" s="19">
        <v>42183</v>
      </c>
      <c r="E126" s="27">
        <v>5.21E-2</v>
      </c>
      <c r="F126" s="27"/>
      <c r="G126" s="27"/>
      <c r="H126" s="27"/>
      <c r="I126" s="27"/>
      <c r="J126" s="27"/>
      <c r="K126" s="28"/>
      <c r="L126" s="22">
        <v>2000000</v>
      </c>
      <c r="M126" s="22">
        <v>1000000</v>
      </c>
      <c r="N126" s="22">
        <v>1000000</v>
      </c>
      <c r="O126" s="22">
        <v>1000000</v>
      </c>
      <c r="P126" s="69">
        <f t="shared" ref="P126:P131" si="8">M126/O126</f>
        <v>1</v>
      </c>
      <c r="Q126" s="108"/>
      <c r="R126" s="56"/>
      <c r="S126" s="57"/>
      <c r="T126" s="57"/>
    </row>
    <row r="127" spans="1:20" ht="13.5" customHeight="1">
      <c r="A127" s="60"/>
      <c r="B127" s="88"/>
      <c r="C127" s="18" t="s">
        <v>104</v>
      </c>
      <c r="D127" s="19">
        <v>44010</v>
      </c>
      <c r="E127" s="27">
        <v>6.2E-2</v>
      </c>
      <c r="F127" s="27"/>
      <c r="G127" s="27"/>
      <c r="H127" s="27"/>
      <c r="I127" s="27"/>
      <c r="J127" s="27"/>
      <c r="K127" s="165"/>
      <c r="L127" s="22"/>
      <c r="M127" s="22">
        <v>1000000</v>
      </c>
      <c r="N127" s="22">
        <v>1000000</v>
      </c>
      <c r="O127" s="22">
        <v>1000000</v>
      </c>
      <c r="P127" s="69">
        <f t="shared" si="8"/>
        <v>1</v>
      </c>
      <c r="Q127" s="108"/>
      <c r="R127" s="56"/>
      <c r="S127" s="57"/>
      <c r="T127" s="57"/>
    </row>
    <row r="128" spans="1:20" ht="13.5" customHeight="1">
      <c r="A128" s="124">
        <v>41093</v>
      </c>
      <c r="B128" s="124">
        <v>41095</v>
      </c>
      <c r="C128" s="125" t="s">
        <v>88</v>
      </c>
      <c r="D128" s="126">
        <v>41459</v>
      </c>
      <c r="E128" s="127">
        <v>0</v>
      </c>
      <c r="F128" s="128">
        <v>4.4062499999999998E-2</v>
      </c>
      <c r="G128" s="128">
        <v>4.5443299999999999E-2</v>
      </c>
      <c r="H128" s="128">
        <v>4.6249999999999999E-2</v>
      </c>
      <c r="I128" s="128">
        <v>4.4062499999999998E-2</v>
      </c>
      <c r="J128" s="94">
        <v>4.4854900000000003E-2</v>
      </c>
      <c r="K128" s="94">
        <v>4.4999999999999998E-2</v>
      </c>
      <c r="L128" s="130">
        <v>6000000</v>
      </c>
      <c r="M128" s="130">
        <v>792700</v>
      </c>
      <c r="N128" s="130">
        <v>600000</v>
      </c>
      <c r="O128" s="130">
        <v>550000</v>
      </c>
      <c r="P128" s="97">
        <f t="shared" si="8"/>
        <v>1.4412727272727273</v>
      </c>
      <c r="Q128" s="132">
        <v>4.4999999999999998E-2</v>
      </c>
      <c r="R128" s="56"/>
      <c r="S128" s="57">
        <f>O128*J128/$R$10</f>
        <v>25280029.194119763</v>
      </c>
      <c r="T128" s="57"/>
    </row>
    <row r="129" spans="1:20" ht="13.5" customHeight="1">
      <c r="A129" s="100"/>
      <c r="B129" s="99"/>
      <c r="C129" s="91" t="s">
        <v>35</v>
      </c>
      <c r="D129" s="92">
        <v>44696</v>
      </c>
      <c r="E129" s="94">
        <v>7.0000000000000007E-2</v>
      </c>
      <c r="F129" s="94">
        <v>6.0312499999999998E-2</v>
      </c>
      <c r="G129" s="94">
        <v>6.1586299999999997E-2</v>
      </c>
      <c r="H129" s="94">
        <v>6.3750000000000001E-2</v>
      </c>
      <c r="I129" s="94">
        <v>6.0312499999999998E-2</v>
      </c>
      <c r="J129" s="94">
        <v>6.0999699999999997E-2</v>
      </c>
      <c r="K129" s="94">
        <v>6.1249999999999999E-2</v>
      </c>
      <c r="L129" s="96"/>
      <c r="M129" s="96">
        <v>6483000</v>
      </c>
      <c r="N129" s="96">
        <v>3300000</v>
      </c>
      <c r="O129" s="96">
        <v>3300000</v>
      </c>
      <c r="P129" s="97">
        <f t="shared" si="8"/>
        <v>1.9645454545454546</v>
      </c>
      <c r="Q129" s="98">
        <v>6.0999999999999999E-2</v>
      </c>
      <c r="R129" s="56"/>
      <c r="S129" s="57"/>
      <c r="T129" s="57"/>
    </row>
    <row r="130" spans="1:20" ht="13.5" customHeight="1">
      <c r="A130" s="100"/>
      <c r="B130" s="101"/>
      <c r="C130" s="91" t="s">
        <v>43</v>
      </c>
      <c r="D130" s="92">
        <v>46522</v>
      </c>
      <c r="E130" s="94">
        <v>7.0000000000000007E-2</v>
      </c>
      <c r="F130" s="94">
        <v>6.4062499999999994E-2</v>
      </c>
      <c r="G130" s="94">
        <v>6.55921E-2</v>
      </c>
      <c r="H130" s="94">
        <v>6.7187499999999997E-2</v>
      </c>
      <c r="I130" s="94">
        <v>6.4062499999999994E-2</v>
      </c>
      <c r="J130" s="94">
        <v>6.5096000000000001E-2</v>
      </c>
      <c r="K130" s="94">
        <v>6.5312499999999996E-2</v>
      </c>
      <c r="L130" s="96"/>
      <c r="M130" s="96">
        <v>3720000</v>
      </c>
      <c r="N130" s="96">
        <v>1900000</v>
      </c>
      <c r="O130" s="96">
        <v>1900000</v>
      </c>
      <c r="P130" s="97">
        <f t="shared" si="8"/>
        <v>1.9578947368421054</v>
      </c>
      <c r="Q130" s="98">
        <v>6.5100000000000005E-2</v>
      </c>
      <c r="R130" s="56">
        <v>0</v>
      </c>
      <c r="S130" s="57">
        <v>0</v>
      </c>
      <c r="T130" s="57"/>
    </row>
    <row r="131" spans="1:20" ht="13.5" customHeight="1">
      <c r="A131" s="100"/>
      <c r="B131" s="101"/>
      <c r="C131" s="135" t="s">
        <v>32</v>
      </c>
      <c r="D131" s="136">
        <v>48380</v>
      </c>
      <c r="E131" s="138">
        <v>8.2500000000000004E-2</v>
      </c>
      <c r="F131" s="94">
        <v>6.7812499999999998E-2</v>
      </c>
      <c r="G131" s="94">
        <v>6.8797399999999995E-2</v>
      </c>
      <c r="H131" s="94">
        <v>7.0000000000000007E-2</v>
      </c>
      <c r="I131" s="94">
        <v>6.7812499999999998E-2</v>
      </c>
      <c r="J131" s="94">
        <v>6.8197900000000006E-2</v>
      </c>
      <c r="K131" s="94">
        <v>6.8437499999999998E-2</v>
      </c>
      <c r="L131" s="96"/>
      <c r="M131" s="96">
        <v>5491500</v>
      </c>
      <c r="N131" s="96">
        <v>1200000</v>
      </c>
      <c r="O131" s="96">
        <v>1200000</v>
      </c>
      <c r="P131" s="97">
        <f t="shared" si="8"/>
        <v>4.5762499999999999</v>
      </c>
      <c r="Q131" s="98">
        <v>6.8199999999999997E-2</v>
      </c>
      <c r="R131" s="56">
        <v>0</v>
      </c>
      <c r="S131" s="57">
        <v>0</v>
      </c>
      <c r="T131" s="57"/>
    </row>
    <row r="132" spans="1:20" ht="13.5" customHeight="1">
      <c r="A132" s="60">
        <v>41100</v>
      </c>
      <c r="B132" s="61">
        <v>41102</v>
      </c>
      <c r="C132" s="18" t="s">
        <v>91</v>
      </c>
      <c r="D132" s="19"/>
      <c r="E132" s="104"/>
      <c r="F132" s="27">
        <v>0.04</v>
      </c>
      <c r="G132" s="27"/>
      <c r="H132" s="27">
        <v>0.05</v>
      </c>
      <c r="I132" s="27"/>
      <c r="J132" s="27"/>
      <c r="K132" s="28"/>
      <c r="L132" s="22">
        <v>1000000</v>
      </c>
      <c r="M132" s="22">
        <v>181000</v>
      </c>
      <c r="N132" s="22"/>
      <c r="O132" s="22"/>
      <c r="P132" s="69"/>
      <c r="Q132" s="56"/>
      <c r="R132" s="56"/>
      <c r="S132" s="57">
        <f>O132*J132/$R$10</f>
        <v>0</v>
      </c>
      <c r="T132" s="57"/>
    </row>
    <row r="133" spans="1:20" ht="13.5" customHeight="1">
      <c r="A133" s="60"/>
      <c r="B133" s="88"/>
      <c r="C133" s="18" t="s">
        <v>48</v>
      </c>
      <c r="D133" s="19">
        <v>43146</v>
      </c>
      <c r="E133" s="104">
        <v>4.4499999999999998E-2</v>
      </c>
      <c r="F133" s="27">
        <v>5.8749999999999997E-2</v>
      </c>
      <c r="G133" s="27"/>
      <c r="H133" s="27">
        <v>6.7500000000000004E-2</v>
      </c>
      <c r="I133" s="27"/>
      <c r="J133" s="27"/>
      <c r="K133" s="28"/>
      <c r="L133" s="22"/>
      <c r="M133" s="22">
        <v>646000</v>
      </c>
      <c r="N133" s="22"/>
      <c r="O133" s="22"/>
      <c r="P133" s="69"/>
      <c r="Q133" s="56"/>
      <c r="R133" s="56"/>
      <c r="S133" s="57"/>
      <c r="T133" s="57"/>
    </row>
    <row r="134" spans="1:20" ht="13.5" customHeight="1">
      <c r="A134" s="16"/>
      <c r="B134" s="17"/>
      <c r="C134" s="18" t="s">
        <v>49</v>
      </c>
      <c r="D134" s="19">
        <v>44576</v>
      </c>
      <c r="E134" s="104">
        <v>5.45E-2</v>
      </c>
      <c r="F134" s="27">
        <v>6.5000000000000002E-2</v>
      </c>
      <c r="G134" s="27"/>
      <c r="H134" s="27">
        <v>7.0000000000000007E-2</v>
      </c>
      <c r="I134" s="27"/>
      <c r="J134" s="28"/>
      <c r="K134" s="28"/>
      <c r="L134" s="22"/>
      <c r="M134" s="22">
        <v>131000</v>
      </c>
      <c r="N134" s="22"/>
      <c r="O134" s="22"/>
      <c r="P134" s="69"/>
      <c r="Q134" s="56"/>
      <c r="R134" s="56"/>
      <c r="S134" s="57"/>
      <c r="T134" s="57"/>
    </row>
    <row r="135" spans="1:20" ht="13.5" customHeight="1">
      <c r="A135" s="16"/>
      <c r="B135" s="17"/>
      <c r="C135" s="18" t="s">
        <v>50</v>
      </c>
      <c r="D135" s="19">
        <v>46402</v>
      </c>
      <c r="E135" s="27">
        <v>0.06</v>
      </c>
      <c r="F135" s="27">
        <v>6.8750000000000006E-2</v>
      </c>
      <c r="G135" s="27"/>
      <c r="H135" s="27">
        <v>7.4999999999999997E-2</v>
      </c>
      <c r="I135" s="27"/>
      <c r="J135" s="28"/>
      <c r="K135" s="28"/>
      <c r="L135" s="22"/>
      <c r="M135" s="22">
        <v>96000</v>
      </c>
      <c r="N135" s="22"/>
      <c r="O135" s="22"/>
      <c r="P135" s="69"/>
      <c r="Q135" s="56"/>
      <c r="R135" s="56" t="e">
        <f>O135*J135/$O$43</f>
        <v>#DIV/0!</v>
      </c>
      <c r="S135" s="57">
        <f>O135*J135/$R$10</f>
        <v>0</v>
      </c>
      <c r="T135" s="57"/>
    </row>
    <row r="136" spans="1:20" ht="13.5" customHeight="1">
      <c r="A136" s="16"/>
      <c r="B136" s="17"/>
      <c r="C136" s="18" t="s">
        <v>53</v>
      </c>
      <c r="D136" s="19">
        <v>50086</v>
      </c>
      <c r="E136" s="27">
        <v>6.0999999999999999E-2</v>
      </c>
      <c r="F136" s="27">
        <v>6.9687499999999999E-2</v>
      </c>
      <c r="G136" s="27"/>
      <c r="H136" s="27">
        <v>0.08</v>
      </c>
      <c r="I136" s="27"/>
      <c r="J136" s="28"/>
      <c r="K136" s="28"/>
      <c r="L136" s="22"/>
      <c r="M136" s="22">
        <v>163000</v>
      </c>
      <c r="N136" s="22"/>
      <c r="O136" s="22"/>
      <c r="P136" s="69"/>
      <c r="Q136" s="108"/>
      <c r="R136" s="56" t="e">
        <f>O136*J136/$O$43</f>
        <v>#DIV/0!</v>
      </c>
      <c r="S136" s="57">
        <f>O136*J136/$R$10</f>
        <v>0</v>
      </c>
      <c r="T136" s="57"/>
    </row>
    <row r="137" spans="1:20" ht="13.5" customHeight="1">
      <c r="A137" s="124">
        <v>41107</v>
      </c>
      <c r="B137" s="124">
        <v>41109</v>
      </c>
      <c r="C137" s="125" t="s">
        <v>89</v>
      </c>
      <c r="D137" s="126">
        <v>41200</v>
      </c>
      <c r="E137" s="127">
        <v>0</v>
      </c>
      <c r="F137" s="128">
        <v>3.90625E-2</v>
      </c>
      <c r="G137" s="128">
        <v>4.1513099999999997E-2</v>
      </c>
      <c r="H137" s="128">
        <v>4.3749999999999997E-2</v>
      </c>
      <c r="I137" s="128">
        <v>3.90625E-2</v>
      </c>
      <c r="J137" s="129">
        <v>3.9890599999999998E-2</v>
      </c>
      <c r="K137" s="129">
        <v>0.04</v>
      </c>
      <c r="L137" s="130">
        <v>6000000</v>
      </c>
      <c r="M137" s="130">
        <v>4330000</v>
      </c>
      <c r="N137" s="130">
        <v>500000</v>
      </c>
      <c r="O137" s="130">
        <v>500000</v>
      </c>
      <c r="P137" s="97">
        <f t="shared" ref="P137:P148" si="9">M137/O137</f>
        <v>8.66</v>
      </c>
      <c r="Q137" s="132">
        <v>3.9899999999999998E-2</v>
      </c>
      <c r="R137" s="56"/>
      <c r="S137" s="57">
        <f>O137*J137/$R$10</f>
        <v>20438337.284544237</v>
      </c>
      <c r="T137" s="57"/>
    </row>
    <row r="138" spans="1:20" ht="13.5" customHeight="1">
      <c r="A138" s="100"/>
      <c r="B138" s="99"/>
      <c r="C138" s="125" t="s">
        <v>90</v>
      </c>
      <c r="D138" s="126">
        <v>41459</v>
      </c>
      <c r="E138" s="93">
        <v>0</v>
      </c>
      <c r="F138" s="94">
        <v>4.2812500000000003E-2</v>
      </c>
      <c r="G138" s="94">
        <v>4.5234900000000001E-2</v>
      </c>
      <c r="H138" s="94">
        <v>4.7500000000000001E-2</v>
      </c>
      <c r="I138" s="94">
        <v>4.2812500000000003E-2</v>
      </c>
      <c r="J138" s="95">
        <v>4.4053799999999997E-2</v>
      </c>
      <c r="K138" s="95">
        <v>4.4062499999999998E-2</v>
      </c>
      <c r="L138" s="96"/>
      <c r="M138" s="96">
        <v>2654500</v>
      </c>
      <c r="N138" s="96">
        <v>1850000</v>
      </c>
      <c r="O138" s="96">
        <v>1000000</v>
      </c>
      <c r="P138" s="97">
        <f t="shared" si="9"/>
        <v>2.6545000000000001</v>
      </c>
      <c r="Q138" s="98">
        <v>4.4999999999999998E-2</v>
      </c>
      <c r="R138" s="56"/>
      <c r="S138" s="57"/>
      <c r="T138" s="57"/>
    </row>
    <row r="139" spans="1:20" ht="13.5" customHeight="1">
      <c r="A139" s="100"/>
      <c r="B139" s="101"/>
      <c r="C139" s="91" t="s">
        <v>34</v>
      </c>
      <c r="D139" s="92">
        <v>42840</v>
      </c>
      <c r="E139" s="94">
        <v>6.25E-2</v>
      </c>
      <c r="F139" s="94">
        <v>5.3749999999999999E-2</v>
      </c>
      <c r="G139" s="94">
        <v>5.5510999999999998E-2</v>
      </c>
      <c r="H139" s="94">
        <v>0.06</v>
      </c>
      <c r="I139" s="94">
        <v>5.3749999999999999E-2</v>
      </c>
      <c r="J139" s="95">
        <v>5.4689300000000003E-2</v>
      </c>
      <c r="K139" s="95">
        <v>5.5E-2</v>
      </c>
      <c r="L139" s="96"/>
      <c r="M139" s="96">
        <v>2800000</v>
      </c>
      <c r="N139" s="96">
        <v>1250000</v>
      </c>
      <c r="O139" s="96">
        <v>1250000</v>
      </c>
      <c r="P139" s="97">
        <f t="shared" si="9"/>
        <v>2.2400000000000002</v>
      </c>
      <c r="Q139" s="98">
        <v>5.4699999999999999E-2</v>
      </c>
      <c r="R139" s="56">
        <v>0</v>
      </c>
      <c r="S139" s="57">
        <v>0</v>
      </c>
      <c r="T139" s="57"/>
    </row>
    <row r="140" spans="1:20" ht="13.5" customHeight="1">
      <c r="A140" s="100"/>
      <c r="B140" s="101"/>
      <c r="C140" s="91" t="s">
        <v>32</v>
      </c>
      <c r="D140" s="155">
        <v>48380</v>
      </c>
      <c r="E140" s="156">
        <v>8.2500000000000004E-2</v>
      </c>
      <c r="F140" s="94">
        <v>6.5625000000000003E-2</v>
      </c>
      <c r="G140" s="94">
        <v>6.7163299999999995E-2</v>
      </c>
      <c r="H140" s="94">
        <v>6.8750000000000006E-2</v>
      </c>
      <c r="I140" s="94">
        <v>6.5625000000000003E-2</v>
      </c>
      <c r="J140" s="94">
        <v>6.6704799999999995E-2</v>
      </c>
      <c r="K140" s="94">
        <v>6.6875000000000004E-2</v>
      </c>
      <c r="L140" s="96"/>
      <c r="M140" s="96">
        <v>12502200</v>
      </c>
      <c r="N140" s="96">
        <v>6450000</v>
      </c>
      <c r="O140" s="96">
        <v>4500000</v>
      </c>
      <c r="P140" s="97">
        <f t="shared" si="9"/>
        <v>2.7782666666666667</v>
      </c>
      <c r="Q140" s="98">
        <v>6.6799999999999998E-2</v>
      </c>
      <c r="R140" s="56">
        <v>0</v>
      </c>
      <c r="S140" s="57">
        <v>0</v>
      </c>
      <c r="T140" s="57"/>
    </row>
    <row r="141" spans="1:20" ht="13.5" customHeight="1">
      <c r="A141" s="133"/>
      <c r="B141" s="153"/>
      <c r="C141" s="135" t="s">
        <v>47</v>
      </c>
      <c r="D141" s="136">
        <v>51971</v>
      </c>
      <c r="E141" s="138">
        <v>6.3750000000000001E-2</v>
      </c>
      <c r="F141" s="138">
        <v>6.5000000000000002E-2</v>
      </c>
      <c r="G141" s="138">
        <v>6.9052799999999998E-2</v>
      </c>
      <c r="H141" s="138">
        <v>7.2499999999999995E-2</v>
      </c>
      <c r="I141" s="138">
        <v>6.5000000000000002E-2</v>
      </c>
      <c r="J141" s="139">
        <v>6.7993499999999998E-2</v>
      </c>
      <c r="K141" s="139">
        <v>6.8750000000000006E-2</v>
      </c>
      <c r="L141" s="140"/>
      <c r="M141" s="140">
        <v>5403000</v>
      </c>
      <c r="N141" s="140">
        <v>1750000</v>
      </c>
      <c r="O141" s="140">
        <v>1750000</v>
      </c>
      <c r="P141" s="141">
        <f t="shared" si="9"/>
        <v>3.0874285714285716</v>
      </c>
      <c r="Q141" s="142">
        <v>6.8000000000000005E-2</v>
      </c>
      <c r="R141" s="56">
        <v>1.9887751488813776E-3</v>
      </c>
      <c r="S141" s="57">
        <v>29293528.561597757</v>
      </c>
      <c r="T141" s="62"/>
    </row>
    <row r="142" spans="1:20" ht="13.5" customHeight="1">
      <c r="A142" s="60">
        <v>41114</v>
      </c>
      <c r="B142" s="61">
        <v>41116</v>
      </c>
      <c r="C142" s="18" t="s">
        <v>97</v>
      </c>
      <c r="D142" s="19"/>
      <c r="E142" s="104"/>
      <c r="F142" s="27">
        <v>4.1562500000000002E-2</v>
      </c>
      <c r="G142" s="27"/>
      <c r="H142" s="27">
        <v>0.05</v>
      </c>
      <c r="I142" s="27"/>
      <c r="J142" s="27"/>
      <c r="K142" s="28"/>
      <c r="L142" s="22">
        <v>1000000</v>
      </c>
      <c r="M142" s="22">
        <v>341000</v>
      </c>
      <c r="N142" s="22"/>
      <c r="O142" s="22"/>
      <c r="P142" s="69"/>
      <c r="Q142" s="56"/>
      <c r="R142" s="56"/>
      <c r="S142" s="57">
        <f>O142*J142/$R$10</f>
        <v>0</v>
      </c>
      <c r="T142" s="57"/>
    </row>
    <row r="143" spans="1:20" ht="13.5" customHeight="1">
      <c r="A143" s="60"/>
      <c r="B143" s="88"/>
      <c r="C143" s="18" t="s">
        <v>48</v>
      </c>
      <c r="D143" s="19">
        <v>43146</v>
      </c>
      <c r="E143" s="104">
        <v>4.4499999999999998E-2</v>
      </c>
      <c r="F143" s="27">
        <v>5.6250000000000001E-2</v>
      </c>
      <c r="G143" s="27"/>
      <c r="H143" s="27">
        <v>6.2812499999999993E-2</v>
      </c>
      <c r="I143" s="27"/>
      <c r="J143" s="27"/>
      <c r="K143" s="28"/>
      <c r="L143" s="22"/>
      <c r="M143" s="22">
        <v>731000</v>
      </c>
      <c r="N143" s="22"/>
      <c r="O143" s="22"/>
      <c r="P143" s="69"/>
      <c r="Q143" s="56"/>
      <c r="R143" s="56"/>
      <c r="S143" s="57"/>
      <c r="T143" s="57"/>
    </row>
    <row r="144" spans="1:20" ht="13.5" customHeight="1">
      <c r="A144" s="16"/>
      <c r="B144" s="17"/>
      <c r="C144" s="18" t="s">
        <v>49</v>
      </c>
      <c r="D144" s="19">
        <v>44576</v>
      </c>
      <c r="E144" s="104">
        <v>5.45E-2</v>
      </c>
      <c r="F144" s="27">
        <v>6.25E-2</v>
      </c>
      <c r="G144" s="27"/>
      <c r="H144" s="27">
        <v>6.6250000000000003E-2</v>
      </c>
      <c r="I144" s="27"/>
      <c r="J144" s="28"/>
      <c r="K144" s="28"/>
      <c r="L144" s="22"/>
      <c r="M144" s="22">
        <v>291000</v>
      </c>
      <c r="N144" s="22"/>
      <c r="O144" s="22"/>
      <c r="P144" s="69"/>
      <c r="Q144" s="56"/>
      <c r="R144" s="56"/>
      <c r="S144" s="57"/>
      <c r="T144" s="57"/>
    </row>
    <row r="145" spans="1:20" ht="13.5" customHeight="1">
      <c r="A145" s="16"/>
      <c r="B145" s="17"/>
      <c r="C145" s="18" t="s">
        <v>50</v>
      </c>
      <c r="D145" s="19">
        <v>46402</v>
      </c>
      <c r="E145" s="27">
        <v>0.06</v>
      </c>
      <c r="F145" s="27">
        <v>6.6875000000000004E-2</v>
      </c>
      <c r="G145" s="27"/>
      <c r="H145" s="27">
        <v>7.0000000000000007E-2</v>
      </c>
      <c r="I145" s="27"/>
      <c r="J145" s="28"/>
      <c r="K145" s="28"/>
      <c r="L145" s="22"/>
      <c r="M145" s="22">
        <v>106000</v>
      </c>
      <c r="N145" s="22"/>
      <c r="O145" s="22"/>
      <c r="P145" s="69"/>
      <c r="Q145" s="56"/>
      <c r="R145" s="56" t="e">
        <f>O145*J145/$O$43</f>
        <v>#DIV/0!</v>
      </c>
      <c r="S145" s="57">
        <f>O145*J145/$R$10</f>
        <v>0</v>
      </c>
      <c r="T145" s="57"/>
    </row>
    <row r="146" spans="1:20" ht="13.5" customHeight="1">
      <c r="A146" s="16"/>
      <c r="B146" s="17"/>
      <c r="C146" s="18" t="s">
        <v>53</v>
      </c>
      <c r="D146" s="19">
        <v>50086</v>
      </c>
      <c r="E146" s="27">
        <v>6.0999999999999999E-2</v>
      </c>
      <c r="F146" s="27">
        <v>6.6562499999999997E-2</v>
      </c>
      <c r="G146" s="27"/>
      <c r="H146" s="27">
        <v>7.3749999999999996E-2</v>
      </c>
      <c r="I146" s="27"/>
      <c r="J146" s="28"/>
      <c r="K146" s="28"/>
      <c r="L146" s="22"/>
      <c r="M146" s="22">
        <v>530000</v>
      </c>
      <c r="N146" s="22"/>
      <c r="O146" s="22">
        <v>460000</v>
      </c>
      <c r="P146" s="69">
        <f>M146/O146</f>
        <v>1.1521739130434783</v>
      </c>
      <c r="Q146" s="108"/>
      <c r="R146" s="56" t="e">
        <f>O146*J146/$O$43</f>
        <v>#DIV/0!</v>
      </c>
      <c r="S146" s="57">
        <f>O146*J146/$R$10</f>
        <v>0</v>
      </c>
      <c r="T146" s="57"/>
    </row>
    <row r="147" spans="1:20" ht="13.5" customHeight="1">
      <c r="A147" s="124">
        <v>41128</v>
      </c>
      <c r="B147" s="124">
        <v>41130</v>
      </c>
      <c r="C147" s="125" t="s">
        <v>96</v>
      </c>
      <c r="D147" s="126"/>
      <c r="E147" s="94"/>
      <c r="F147" s="128">
        <v>4.6249999999999999E-2</v>
      </c>
      <c r="G147" s="128"/>
      <c r="H147" s="128">
        <v>0.05</v>
      </c>
      <c r="I147" s="128"/>
      <c r="J147" s="94"/>
      <c r="K147" s="94"/>
      <c r="L147" s="130">
        <v>1000000</v>
      </c>
      <c r="M147" s="130">
        <v>336000</v>
      </c>
      <c r="N147" s="130"/>
      <c r="O147" s="130"/>
      <c r="P147" s="97"/>
      <c r="Q147" s="132"/>
      <c r="R147" s="56"/>
      <c r="S147" s="57">
        <f>O147*J147/$R$10</f>
        <v>0</v>
      </c>
      <c r="T147" s="57"/>
    </row>
    <row r="148" spans="1:20" ht="13.5" customHeight="1">
      <c r="A148" s="89"/>
      <c r="B148" s="89"/>
      <c r="C148" s="91" t="s">
        <v>48</v>
      </c>
      <c r="D148" s="92">
        <v>43146</v>
      </c>
      <c r="E148" s="94">
        <v>4.4499999999999998E-2</v>
      </c>
      <c r="F148" s="94">
        <v>5.6562500000000002E-2</v>
      </c>
      <c r="G148" s="94"/>
      <c r="H148" s="94">
        <v>6.25E-2</v>
      </c>
      <c r="I148" s="94">
        <v>5.6562500000000002E-2</v>
      </c>
      <c r="J148" s="94">
        <v>5.6596E-2</v>
      </c>
      <c r="K148" s="94"/>
      <c r="L148" s="96"/>
      <c r="M148" s="96">
        <v>726000</v>
      </c>
      <c r="N148" s="96"/>
      <c r="O148" s="96">
        <v>40000</v>
      </c>
      <c r="P148" s="97">
        <f t="shared" si="9"/>
        <v>18.149999999999999</v>
      </c>
      <c r="Q148" s="98"/>
      <c r="R148" s="56"/>
      <c r="S148" s="57"/>
      <c r="T148" s="57"/>
    </row>
    <row r="149" spans="1:20" ht="13.5" customHeight="1">
      <c r="A149" s="89"/>
      <c r="B149" s="89"/>
      <c r="C149" s="91" t="s">
        <v>49</v>
      </c>
      <c r="D149" s="92">
        <v>44576</v>
      </c>
      <c r="E149" s="94">
        <v>5.45E-2</v>
      </c>
      <c r="F149" s="94">
        <v>6.0937499999999999E-2</v>
      </c>
      <c r="G149" s="94"/>
      <c r="H149" s="94">
        <v>6.5000000000000002E-2</v>
      </c>
      <c r="I149" s="94"/>
      <c r="J149" s="94"/>
      <c r="K149" s="94"/>
      <c r="L149" s="96"/>
      <c r="M149" s="96">
        <v>176000</v>
      </c>
      <c r="N149" s="96"/>
      <c r="O149" s="96"/>
      <c r="P149" s="97"/>
      <c r="Q149" s="98"/>
      <c r="R149" s="56"/>
      <c r="S149" s="57"/>
      <c r="T149" s="57"/>
    </row>
    <row r="150" spans="1:20" ht="13.5" customHeight="1">
      <c r="A150" s="89"/>
      <c r="B150" s="89"/>
      <c r="C150" s="91" t="s">
        <v>50</v>
      </c>
      <c r="D150" s="92">
        <v>46402</v>
      </c>
      <c r="E150" s="94">
        <v>0.06</v>
      </c>
      <c r="F150" s="94">
        <v>6.5937499999999996E-2</v>
      </c>
      <c r="G150" s="94"/>
      <c r="H150" s="94">
        <v>7.0000000000000007E-2</v>
      </c>
      <c r="I150" s="94"/>
      <c r="J150" s="94"/>
      <c r="K150" s="94"/>
      <c r="L150" s="96"/>
      <c r="M150" s="96">
        <v>106000</v>
      </c>
      <c r="N150" s="96"/>
      <c r="O150" s="96"/>
      <c r="P150" s="97"/>
      <c r="Q150" s="98"/>
      <c r="R150" s="56" t="e">
        <f>O150*J150/$O$43</f>
        <v>#DIV/0!</v>
      </c>
      <c r="S150" s="57">
        <f>O150*J150/$R$10</f>
        <v>0</v>
      </c>
      <c r="T150" s="57"/>
    </row>
    <row r="151" spans="1:20" ht="13.5" customHeight="1">
      <c r="A151" s="89"/>
      <c r="B151" s="89"/>
      <c r="C151" s="91" t="s">
        <v>53</v>
      </c>
      <c r="D151" s="92">
        <v>50086</v>
      </c>
      <c r="E151" s="94">
        <v>6.0999999999999999E-2</v>
      </c>
      <c r="F151" s="94">
        <v>6.6562499999999997E-2</v>
      </c>
      <c r="G151" s="94"/>
      <c r="H151" s="94">
        <v>7.3749999999999996E-2</v>
      </c>
      <c r="I151" s="94">
        <v>6.6562499999999997E-2</v>
      </c>
      <c r="J151" s="94">
        <v>6.7161600000000002E-2</v>
      </c>
      <c r="K151" s="94"/>
      <c r="L151" s="96"/>
      <c r="M151" s="96">
        <v>589000</v>
      </c>
      <c r="N151" s="96"/>
      <c r="O151" s="96">
        <v>500000</v>
      </c>
      <c r="P151" s="97">
        <f>M151/O151</f>
        <v>1.1779999999999999</v>
      </c>
      <c r="Q151" s="98"/>
      <c r="R151" s="56" t="e">
        <f>O151*J151/$O$43</f>
        <v>#DIV/0!</v>
      </c>
      <c r="S151" s="57">
        <f>O151*J151/$R$10</f>
        <v>34410899.644769609</v>
      </c>
      <c r="T151" s="57"/>
    </row>
    <row r="152" spans="1:20" s="71" customFormat="1" ht="13.5" customHeight="1">
      <c r="A152" s="76">
        <v>41130</v>
      </c>
      <c r="B152" s="76">
        <v>41134</v>
      </c>
      <c r="C152" s="77" t="s">
        <v>92</v>
      </c>
      <c r="D152" s="78">
        <v>41225</v>
      </c>
      <c r="E152" s="66"/>
      <c r="F152" s="80">
        <v>3.90625E-2</v>
      </c>
      <c r="G152" s="80">
        <v>4.0763199999999999E-2</v>
      </c>
      <c r="H152" s="80">
        <v>4.2187500000000003E-2</v>
      </c>
      <c r="I152" s="80">
        <v>3.90625E-2</v>
      </c>
      <c r="J152" s="66">
        <v>4.04886E-2</v>
      </c>
      <c r="K152" s="66">
        <v>4.1250000000000002E-2</v>
      </c>
      <c r="L152" s="82">
        <v>6000000</v>
      </c>
      <c r="M152" s="82">
        <v>1169000</v>
      </c>
      <c r="N152" s="82">
        <v>850000</v>
      </c>
      <c r="O152" s="82">
        <v>850000</v>
      </c>
      <c r="P152" s="69">
        <f>M152/O152</f>
        <v>1.3752941176470588</v>
      </c>
      <c r="Q152" s="157">
        <v>4.0500000000000001E-2</v>
      </c>
      <c r="R152" s="108"/>
      <c r="S152" s="158">
        <f>O152*J152/$R$10</f>
        <v>35266038.291334204</v>
      </c>
      <c r="T152" s="158"/>
    </row>
    <row r="153" spans="1:20" s="71" customFormat="1" ht="13.5" customHeight="1">
      <c r="A153" s="73"/>
      <c r="B153" s="73"/>
      <c r="C153" s="64" t="s">
        <v>93</v>
      </c>
      <c r="D153" s="65">
        <v>41498</v>
      </c>
      <c r="E153" s="66"/>
      <c r="F153" s="66">
        <v>4.3124999999999997E-2</v>
      </c>
      <c r="G153" s="66">
        <v>4.5221900000000002E-2</v>
      </c>
      <c r="H153" s="66">
        <v>4.6875E-2</v>
      </c>
      <c r="I153" s="66">
        <v>4.3124999999999997E-2</v>
      </c>
      <c r="J153" s="66">
        <v>4.4704199999999999E-2</v>
      </c>
      <c r="K153" s="66">
        <v>4.5312499999999999E-2</v>
      </c>
      <c r="L153" s="68"/>
      <c r="M153" s="68">
        <v>531000</v>
      </c>
      <c r="N153" s="68">
        <v>500000</v>
      </c>
      <c r="O153" s="68">
        <v>450000</v>
      </c>
      <c r="P153" s="69">
        <f>M153/O153</f>
        <v>1.18</v>
      </c>
      <c r="Q153" s="108">
        <v>4.4999999999999998E-2</v>
      </c>
      <c r="R153" s="108"/>
      <c r="S153" s="158"/>
      <c r="T153" s="158"/>
    </row>
    <row r="154" spans="1:20" s="71" customFormat="1" ht="13.5" customHeight="1">
      <c r="A154" s="73"/>
      <c r="B154" s="73"/>
      <c r="C154" s="64" t="s">
        <v>94</v>
      </c>
      <c r="D154" s="65">
        <v>45061</v>
      </c>
      <c r="E154" s="66">
        <v>5.6250000000000001E-2</v>
      </c>
      <c r="F154" s="66">
        <v>5.6250000000000001E-2</v>
      </c>
      <c r="G154" s="66">
        <v>5.8444999999999997E-2</v>
      </c>
      <c r="H154" s="66">
        <v>6.21875E-2</v>
      </c>
      <c r="I154" s="66">
        <v>5.6250000000000001E-2</v>
      </c>
      <c r="J154" s="66">
        <v>5.78474E-2</v>
      </c>
      <c r="K154" s="66">
        <v>5.8125000000000003E-2</v>
      </c>
      <c r="L154" s="68"/>
      <c r="M154" s="68">
        <v>7471300</v>
      </c>
      <c r="N154" s="68">
        <v>4950000</v>
      </c>
      <c r="O154" s="68">
        <v>3100000</v>
      </c>
      <c r="P154" s="69">
        <f>M154/O154</f>
        <v>2.4100967741935482</v>
      </c>
      <c r="Q154" s="108">
        <v>5.8000000000000003E-2</v>
      </c>
      <c r="R154" s="108">
        <v>0</v>
      </c>
      <c r="S154" s="158">
        <v>0</v>
      </c>
      <c r="T154" s="158"/>
    </row>
    <row r="155" spans="1:20" s="71" customFormat="1" ht="13.5" customHeight="1">
      <c r="A155" s="73"/>
      <c r="B155" s="73"/>
      <c r="C155" s="64" t="s">
        <v>95</v>
      </c>
      <c r="D155" s="65">
        <v>46888</v>
      </c>
      <c r="E155" s="66">
        <v>6.1249999999999999E-2</v>
      </c>
      <c r="F155" s="66">
        <v>6.1249999999999999E-2</v>
      </c>
      <c r="G155" s="66">
        <v>6.3324000000000005E-2</v>
      </c>
      <c r="H155" s="66">
        <v>6.5937499999999996E-2</v>
      </c>
      <c r="I155" s="66">
        <v>6.1249999999999999E-2</v>
      </c>
      <c r="J155" s="66">
        <v>6.2920799999999999E-2</v>
      </c>
      <c r="K155" s="66">
        <v>6.3125000000000001E-2</v>
      </c>
      <c r="L155" s="68"/>
      <c r="M155" s="68">
        <v>7838200</v>
      </c>
      <c r="N155" s="68">
        <v>7838200</v>
      </c>
      <c r="O155" s="68">
        <v>4600000</v>
      </c>
      <c r="P155" s="69">
        <f>M155/O155</f>
        <v>1.7039565217391304</v>
      </c>
      <c r="Q155" s="108">
        <v>6.3500000000000001E-2</v>
      </c>
      <c r="R155" s="108">
        <v>0</v>
      </c>
      <c r="S155" s="158">
        <v>0</v>
      </c>
      <c r="T155" s="158"/>
    </row>
    <row r="156" spans="1:20" s="71" customFormat="1" ht="13.5" customHeight="1">
      <c r="A156" s="73"/>
      <c r="B156" s="73"/>
      <c r="C156" s="64" t="s">
        <v>47</v>
      </c>
      <c r="D156" s="65">
        <v>51971</v>
      </c>
      <c r="E156" s="66">
        <v>6.3750000000000001E-2</v>
      </c>
      <c r="F156" s="66">
        <v>6.5000000000000002E-2</v>
      </c>
      <c r="G156" s="66">
        <v>6.6420800000000002E-2</v>
      </c>
      <c r="H156" s="66">
        <v>6.8437499999999998E-2</v>
      </c>
      <c r="I156" s="66"/>
      <c r="J156" s="66"/>
      <c r="K156" s="66"/>
      <c r="L156" s="68"/>
      <c r="M156" s="68">
        <v>3007000</v>
      </c>
      <c r="N156" s="68">
        <v>300000</v>
      </c>
      <c r="O156" s="68"/>
      <c r="P156" s="69"/>
      <c r="Q156" s="108">
        <v>6.5299999999999997E-2</v>
      </c>
      <c r="R156" s="108">
        <v>1.9887751488813776E-3</v>
      </c>
      <c r="S156" s="158">
        <v>29293528.561597757</v>
      </c>
      <c r="T156" s="158"/>
    </row>
    <row r="157" spans="1:20" ht="13.5" customHeight="1">
      <c r="A157" s="124">
        <v>41149</v>
      </c>
      <c r="B157" s="124">
        <v>41151</v>
      </c>
      <c r="C157" s="91" t="s">
        <v>93</v>
      </c>
      <c r="D157" s="92">
        <v>41498</v>
      </c>
      <c r="E157" s="94"/>
      <c r="F157" s="128">
        <v>4.3749999999999997E-2</v>
      </c>
      <c r="G157" s="128">
        <v>4.8259900000000001E-2</v>
      </c>
      <c r="H157" s="128">
        <v>0.05</v>
      </c>
      <c r="I157" s="128">
        <v>4.3749999999999997E-2</v>
      </c>
      <c r="J157" s="94">
        <v>4.5231199999999999E-2</v>
      </c>
      <c r="K157" s="94">
        <v>4.6249999999999999E-2</v>
      </c>
      <c r="L157" s="130">
        <v>6000000</v>
      </c>
      <c r="M157" s="130">
        <v>666300</v>
      </c>
      <c r="N157" s="130">
        <v>666300</v>
      </c>
      <c r="O157" s="130">
        <v>540000</v>
      </c>
      <c r="P157" s="97">
        <f t="shared" ref="P157:P166" si="10">M157/O157</f>
        <v>1.2338888888888888</v>
      </c>
      <c r="Q157" s="132">
        <v>4.9000000000000002E-2</v>
      </c>
      <c r="R157" s="56"/>
      <c r="S157" s="57">
        <f>O157*J157/$R$10</f>
        <v>25028617.345827125</v>
      </c>
      <c r="T157" s="57"/>
    </row>
    <row r="158" spans="1:20" ht="13.5" customHeight="1">
      <c r="A158" s="89"/>
      <c r="B158" s="89"/>
      <c r="C158" s="91" t="s">
        <v>34</v>
      </c>
      <c r="D158" s="92">
        <v>42840</v>
      </c>
      <c r="E158" s="94">
        <v>6.25E-2</v>
      </c>
      <c r="F158" s="94">
        <v>5.5625000000000001E-2</v>
      </c>
      <c r="G158" s="94">
        <v>5.6602699999999999E-2</v>
      </c>
      <c r="H158" s="94">
        <v>0.06</v>
      </c>
      <c r="I158" s="94">
        <v>5.5625000000000001E-2</v>
      </c>
      <c r="J158" s="94">
        <v>5.5915199999999998E-2</v>
      </c>
      <c r="K158" s="94">
        <v>5.6250000000000001E-2</v>
      </c>
      <c r="L158" s="96"/>
      <c r="M158" s="96">
        <v>887000</v>
      </c>
      <c r="N158" s="96">
        <v>600000</v>
      </c>
      <c r="O158" s="96">
        <v>350000</v>
      </c>
      <c r="P158" s="97">
        <f t="shared" si="10"/>
        <v>2.5342857142857143</v>
      </c>
      <c r="Q158" s="98">
        <v>4.65E-2</v>
      </c>
      <c r="R158" s="56"/>
      <c r="S158" s="57"/>
      <c r="T158" s="57"/>
    </row>
    <row r="159" spans="1:20" ht="13.5" customHeight="1">
      <c r="A159" s="89"/>
      <c r="B159" s="89"/>
      <c r="C159" s="91" t="s">
        <v>94</v>
      </c>
      <c r="D159" s="92">
        <v>45061</v>
      </c>
      <c r="E159" s="94">
        <v>5.6250000000000001E-2</v>
      </c>
      <c r="F159" s="94">
        <v>6.1562499999999999E-2</v>
      </c>
      <c r="G159" s="94">
        <v>6.2457400000000003E-2</v>
      </c>
      <c r="H159" s="94">
        <v>6.5312499999999996E-2</v>
      </c>
      <c r="I159" s="94"/>
      <c r="J159" s="94"/>
      <c r="K159" s="94"/>
      <c r="L159" s="96"/>
      <c r="M159" s="96">
        <v>1530000</v>
      </c>
      <c r="N159" s="96"/>
      <c r="O159" s="96"/>
      <c r="P159" s="97"/>
      <c r="Q159" s="98">
        <v>6.1499999999999999E-2</v>
      </c>
      <c r="R159" s="56">
        <v>0</v>
      </c>
      <c r="S159" s="57">
        <v>0</v>
      </c>
      <c r="T159" s="57"/>
    </row>
    <row r="160" spans="1:20" ht="13.5" customHeight="1">
      <c r="A160" s="89"/>
      <c r="B160" s="89"/>
      <c r="C160" s="91" t="s">
        <v>98</v>
      </c>
      <c r="D160" s="92">
        <v>48714</v>
      </c>
      <c r="E160" s="94">
        <v>6.6250000000000003E-2</v>
      </c>
      <c r="F160" s="94">
        <v>6.7812499999999998E-2</v>
      </c>
      <c r="G160" s="94">
        <v>6.9155700000000001E-2</v>
      </c>
      <c r="H160" s="94">
        <v>7.2499999999999995E-2</v>
      </c>
      <c r="I160" s="94">
        <v>6.7812499999999998E-2</v>
      </c>
      <c r="J160" s="94">
        <v>6.8855E-2</v>
      </c>
      <c r="K160" s="94">
        <v>6.9062499999999999E-2</v>
      </c>
      <c r="L160" s="96"/>
      <c r="M160" s="96">
        <v>4284500</v>
      </c>
      <c r="N160" s="96">
        <v>3200000</v>
      </c>
      <c r="O160" s="96">
        <v>2950000</v>
      </c>
      <c r="P160" s="97">
        <f t="shared" si="10"/>
        <v>1.4523728813559322</v>
      </c>
      <c r="Q160" s="98">
        <v>6.8900000000000003E-2</v>
      </c>
      <c r="R160" s="56">
        <v>0</v>
      </c>
      <c r="S160" s="57">
        <v>0</v>
      </c>
      <c r="T160" s="57"/>
    </row>
    <row r="161" spans="1:20" ht="13.5" customHeight="1">
      <c r="A161" s="89"/>
      <c r="B161" s="89"/>
      <c r="C161" s="91" t="s">
        <v>47</v>
      </c>
      <c r="D161" s="92">
        <v>51971</v>
      </c>
      <c r="E161" s="94">
        <v>6.3750000000000001E-2</v>
      </c>
      <c r="F161" s="94">
        <v>6.8437499999999998E-2</v>
      </c>
      <c r="G161" s="94">
        <v>6.9570300000000002E-2</v>
      </c>
      <c r="H161" s="94">
        <v>7.1249999999999994E-2</v>
      </c>
      <c r="I161" s="94"/>
      <c r="J161" s="94"/>
      <c r="K161" s="94"/>
      <c r="L161" s="96"/>
      <c r="M161" s="96">
        <v>1149500</v>
      </c>
      <c r="N161" s="96">
        <v>100000</v>
      </c>
      <c r="O161" s="96"/>
      <c r="P161" s="97"/>
      <c r="Q161" s="98">
        <v>6.8500000000000005E-2</v>
      </c>
      <c r="R161" s="56">
        <v>1.9887751488813776E-3</v>
      </c>
      <c r="S161" s="57">
        <v>29293528.561597757</v>
      </c>
      <c r="T161" s="57"/>
    </row>
    <row r="162" spans="1:20" s="71" customFormat="1" ht="13.5" customHeight="1">
      <c r="A162" s="76">
        <v>41156</v>
      </c>
      <c r="B162" s="76">
        <v>41158</v>
      </c>
      <c r="C162" s="77" t="s">
        <v>102</v>
      </c>
      <c r="D162" s="78"/>
      <c r="E162" s="66"/>
      <c r="F162" s="80">
        <v>4.3749999999999997E-2</v>
      </c>
      <c r="G162" s="80"/>
      <c r="H162" s="80">
        <v>0.05</v>
      </c>
      <c r="I162" s="80"/>
      <c r="J162" s="66"/>
      <c r="K162" s="66"/>
      <c r="L162" s="82">
        <v>1000000</v>
      </c>
      <c r="M162" s="82">
        <v>182000</v>
      </c>
      <c r="N162" s="82"/>
      <c r="O162" s="82"/>
      <c r="P162" s="69"/>
      <c r="Q162" s="157"/>
      <c r="R162" s="108"/>
      <c r="S162" s="158">
        <f>O162*J162/$R$10</f>
        <v>0</v>
      </c>
      <c r="T162" s="158"/>
    </row>
    <row r="163" spans="1:20" s="71" customFormat="1" ht="13.5" customHeight="1">
      <c r="A163" s="73"/>
      <c r="B163" s="73"/>
      <c r="C163" s="64" t="s">
        <v>48</v>
      </c>
      <c r="D163" s="65">
        <v>43146</v>
      </c>
      <c r="E163" s="66">
        <v>4.4499999999999998E-2</v>
      </c>
      <c r="F163" s="66">
        <v>5.7812500000000003E-2</v>
      </c>
      <c r="G163" s="66"/>
      <c r="H163" s="66">
        <v>6.3125000000000001E-2</v>
      </c>
      <c r="I163" s="66">
        <v>5.7812500000000003E-2</v>
      </c>
      <c r="J163" s="66">
        <v>6.0042600000000002E-2</v>
      </c>
      <c r="K163" s="66"/>
      <c r="L163" s="68"/>
      <c r="M163" s="68">
        <v>870000</v>
      </c>
      <c r="N163" s="68"/>
      <c r="O163" s="68">
        <v>660000</v>
      </c>
      <c r="P163" s="69">
        <f t="shared" si="10"/>
        <v>1.3181818181818181</v>
      </c>
      <c r="Q163" s="108"/>
      <c r="R163" s="108"/>
      <c r="S163" s="158"/>
      <c r="T163" s="158"/>
    </row>
    <row r="164" spans="1:20" s="71" customFormat="1" ht="13.5" customHeight="1">
      <c r="A164" s="73"/>
      <c r="B164" s="73"/>
      <c r="C164" s="64" t="s">
        <v>49</v>
      </c>
      <c r="D164" s="65">
        <v>44576</v>
      </c>
      <c r="E164" s="66">
        <v>5.45E-2</v>
      </c>
      <c r="F164" s="66">
        <v>6.0937499999999999E-2</v>
      </c>
      <c r="G164" s="66"/>
      <c r="H164" s="66">
        <v>6.5000000000000002E-2</v>
      </c>
      <c r="I164" s="66">
        <v>6.0937499999999999E-2</v>
      </c>
      <c r="J164" s="66">
        <v>6.3195500000000002E-2</v>
      </c>
      <c r="K164" s="66"/>
      <c r="L164" s="68"/>
      <c r="M164" s="68">
        <v>390000</v>
      </c>
      <c r="N164" s="68"/>
      <c r="O164" s="68">
        <v>193000</v>
      </c>
      <c r="P164" s="69">
        <f t="shared" si="10"/>
        <v>2.0207253886010363</v>
      </c>
      <c r="Q164" s="108"/>
      <c r="R164" s="108"/>
      <c r="S164" s="158"/>
      <c r="T164" s="158"/>
    </row>
    <row r="165" spans="1:20" s="71" customFormat="1" ht="13.5" customHeight="1">
      <c r="A165" s="73"/>
      <c r="B165" s="73"/>
      <c r="C165" s="64" t="s">
        <v>50</v>
      </c>
      <c r="D165" s="65">
        <v>46402</v>
      </c>
      <c r="E165" s="66">
        <v>0.06</v>
      </c>
      <c r="F165" s="66">
        <v>6.6875000000000004E-2</v>
      </c>
      <c r="G165" s="66"/>
      <c r="H165" s="66">
        <v>7.1249999999999994E-2</v>
      </c>
      <c r="I165" s="66"/>
      <c r="J165" s="66"/>
      <c r="K165" s="66"/>
      <c r="L165" s="68"/>
      <c r="M165" s="68">
        <v>139000</v>
      </c>
      <c r="N165" s="68"/>
      <c r="O165" s="68"/>
      <c r="P165" s="69"/>
      <c r="Q165" s="108"/>
      <c r="R165" s="108" t="e">
        <f>O165*J165/$O$43</f>
        <v>#DIV/0!</v>
      </c>
      <c r="S165" s="158">
        <f>O165*J165/$R$10</f>
        <v>0</v>
      </c>
      <c r="T165" s="158"/>
    </row>
    <row r="166" spans="1:20" s="71" customFormat="1" ht="13.5" customHeight="1">
      <c r="A166" s="73"/>
      <c r="B166" s="73"/>
      <c r="C166" s="64" t="s">
        <v>53</v>
      </c>
      <c r="D166" s="65">
        <v>50086</v>
      </c>
      <c r="E166" s="66">
        <v>6.0999999999999999E-2</v>
      </c>
      <c r="F166" s="66">
        <v>6.7500000000000004E-2</v>
      </c>
      <c r="G166" s="66"/>
      <c r="H166" s="66">
        <v>7.3124999999999996E-2</v>
      </c>
      <c r="I166" s="66">
        <v>6.7500000000000004E-2</v>
      </c>
      <c r="J166" s="66">
        <v>6.7808900000000005E-2</v>
      </c>
      <c r="K166" s="66"/>
      <c r="L166" s="68"/>
      <c r="M166" s="68">
        <v>402000</v>
      </c>
      <c r="N166" s="68"/>
      <c r="O166" s="68">
        <v>250000</v>
      </c>
      <c r="P166" s="69">
        <f t="shared" si="10"/>
        <v>1.6080000000000001</v>
      </c>
      <c r="Q166" s="108"/>
      <c r="R166" s="108" t="e">
        <f>O166*J166/$O$43</f>
        <v>#DIV/0!</v>
      </c>
      <c r="S166" s="158">
        <f>O166*J166/$R$10</f>
        <v>17371275.050938465</v>
      </c>
      <c r="T166" s="158"/>
    </row>
    <row r="167" spans="1:20" ht="13.5" customHeight="1">
      <c r="A167" s="124">
        <v>41163</v>
      </c>
      <c r="B167" s="124">
        <v>41165</v>
      </c>
      <c r="C167" s="125" t="s">
        <v>99</v>
      </c>
      <c r="D167" s="126">
        <v>41255</v>
      </c>
      <c r="E167" s="94"/>
      <c r="F167" s="128">
        <v>0.04</v>
      </c>
      <c r="G167" s="128">
        <v>4.1332500000000001E-2</v>
      </c>
      <c r="H167" s="128">
        <v>4.3749999999999997E-2</v>
      </c>
      <c r="I167" s="128">
        <v>0.04</v>
      </c>
      <c r="J167" s="94">
        <v>4.01819E-2</v>
      </c>
      <c r="K167" s="94">
        <v>4.0625000000000001E-2</v>
      </c>
      <c r="L167" s="130">
        <v>5000000</v>
      </c>
      <c r="M167" s="130">
        <v>4487000</v>
      </c>
      <c r="N167" s="130">
        <v>3650000</v>
      </c>
      <c r="O167" s="130">
        <v>1000000</v>
      </c>
      <c r="P167" s="97">
        <f>M167/O167</f>
        <v>4.4870000000000001</v>
      </c>
      <c r="Q167" s="132">
        <v>4.1000000000000002E-2</v>
      </c>
      <c r="R167" s="56"/>
      <c r="S167" s="57">
        <f>O167*J167/$R$10</f>
        <v>41175175.35127715</v>
      </c>
      <c r="T167" s="57"/>
    </row>
    <row r="168" spans="1:20" ht="13.5" customHeight="1">
      <c r="A168" s="89"/>
      <c r="B168" s="89"/>
      <c r="C168" s="91" t="s">
        <v>100</v>
      </c>
      <c r="D168" s="92">
        <v>41164</v>
      </c>
      <c r="E168" s="94"/>
      <c r="F168" s="94">
        <v>4.5624999999999999E-2</v>
      </c>
      <c r="G168" s="94">
        <v>4.7959000000000002E-2</v>
      </c>
      <c r="H168" s="94">
        <v>5.5E-2</v>
      </c>
      <c r="I168" s="94">
        <v>4.5624999999999999E-2</v>
      </c>
      <c r="J168" s="94">
        <v>4.6062499999999999E-2</v>
      </c>
      <c r="K168" s="94">
        <v>4.6249999999999999E-2</v>
      </c>
      <c r="L168" s="96"/>
      <c r="M168" s="96">
        <v>1785000</v>
      </c>
      <c r="N168" s="96">
        <v>1100000</v>
      </c>
      <c r="O168" s="96">
        <v>1000000</v>
      </c>
      <c r="P168" s="97">
        <f>M168/O168</f>
        <v>1.7849999999999999</v>
      </c>
      <c r="Q168" s="98">
        <v>4.65E-2</v>
      </c>
      <c r="R168" s="56"/>
      <c r="S168" s="57"/>
      <c r="T168" s="57"/>
    </row>
    <row r="169" spans="1:20" ht="13.5" customHeight="1">
      <c r="A169" s="89"/>
      <c r="B169" s="89"/>
      <c r="C169" s="91" t="s">
        <v>94</v>
      </c>
      <c r="D169" s="92">
        <v>45061</v>
      </c>
      <c r="E169" s="94">
        <v>5.6250000000000001E-2</v>
      </c>
      <c r="F169" s="94">
        <v>5.9374999999999997E-2</v>
      </c>
      <c r="G169" s="94">
        <v>6.0299499999999999E-2</v>
      </c>
      <c r="H169" s="94">
        <v>6.21875E-2</v>
      </c>
      <c r="I169" s="94">
        <v>5.9374999999999997E-2</v>
      </c>
      <c r="J169" s="94">
        <v>5.9670000000000001E-2</v>
      </c>
      <c r="K169" s="94">
        <v>5.9687499999999998E-2</v>
      </c>
      <c r="L169" s="96"/>
      <c r="M169" s="96">
        <v>2121500</v>
      </c>
      <c r="N169" s="96">
        <v>450000</v>
      </c>
      <c r="O169" s="96">
        <v>400000</v>
      </c>
      <c r="P169" s="97">
        <f>M169/O169</f>
        <v>5.30375</v>
      </c>
      <c r="Q169" s="98">
        <v>5.9700000000000003E-2</v>
      </c>
      <c r="R169" s="56">
        <v>0</v>
      </c>
      <c r="S169" s="57">
        <v>0</v>
      </c>
      <c r="T169" s="57"/>
    </row>
    <row r="170" spans="1:20" ht="13.5" customHeight="1">
      <c r="A170" s="89"/>
      <c r="B170" s="89"/>
      <c r="C170" s="91" t="s">
        <v>95</v>
      </c>
      <c r="D170" s="92">
        <v>46888</v>
      </c>
      <c r="E170" s="94">
        <v>6.1249999999999999E-2</v>
      </c>
      <c r="F170" s="94">
        <v>6.3125000000000001E-2</v>
      </c>
      <c r="G170" s="94">
        <v>6.4128599999999994E-2</v>
      </c>
      <c r="H170" s="94">
        <v>6.7500000000000004E-2</v>
      </c>
      <c r="I170" s="94">
        <v>6.3125000000000001E-2</v>
      </c>
      <c r="J170" s="94">
        <v>6.3644900000000004E-2</v>
      </c>
      <c r="K170" s="94">
        <v>6.3750000000000001E-2</v>
      </c>
      <c r="L170" s="96"/>
      <c r="M170" s="96">
        <v>1750500</v>
      </c>
      <c r="N170" s="96">
        <v>650000</v>
      </c>
      <c r="O170" s="96">
        <v>600000</v>
      </c>
      <c r="P170" s="97">
        <f>M170/O170</f>
        <v>2.9175</v>
      </c>
      <c r="Q170" s="98">
        <v>6.3700000000000007E-2</v>
      </c>
      <c r="R170" s="56">
        <v>0</v>
      </c>
      <c r="S170" s="57">
        <v>0</v>
      </c>
      <c r="T170" s="57"/>
    </row>
    <row r="171" spans="1:20" ht="13.5" customHeight="1">
      <c r="A171" s="89"/>
      <c r="B171" s="89"/>
      <c r="C171" s="91" t="s">
        <v>98</v>
      </c>
      <c r="D171" s="92">
        <v>48714</v>
      </c>
      <c r="E171" s="94">
        <v>6.6250000000000003E-2</v>
      </c>
      <c r="F171" s="94">
        <v>6.5937499999999996E-2</v>
      </c>
      <c r="G171" s="94">
        <v>6.7079E-2</v>
      </c>
      <c r="H171" s="94">
        <v>6.9375000000000006E-2</v>
      </c>
      <c r="I171" s="94">
        <v>6.5937499999999996E-2</v>
      </c>
      <c r="J171" s="94">
        <v>6.6852700000000001E-2</v>
      </c>
      <c r="K171" s="94">
        <v>6.7187499999999997E-2</v>
      </c>
      <c r="L171" s="96"/>
      <c r="M171" s="96">
        <v>3973000</v>
      </c>
      <c r="N171" s="96">
        <v>3450000</v>
      </c>
      <c r="O171" s="96">
        <v>3200000</v>
      </c>
      <c r="P171" s="97"/>
      <c r="Q171" s="98">
        <v>6.6900000000000001E-2</v>
      </c>
      <c r="R171" s="56">
        <v>1.9887751488813776E-3</v>
      </c>
      <c r="S171" s="57">
        <v>29293528.561597757</v>
      </c>
      <c r="T171" s="57"/>
    </row>
    <row r="172" spans="1:20" s="71" customFormat="1" ht="13.5" customHeight="1">
      <c r="A172" s="76">
        <v>41170</v>
      </c>
      <c r="B172" s="76">
        <v>41172</v>
      </c>
      <c r="C172" s="77" t="s">
        <v>101</v>
      </c>
      <c r="D172" s="78"/>
      <c r="E172" s="66"/>
      <c r="F172" s="80">
        <v>5.5E-2</v>
      </c>
      <c r="G172" s="80"/>
      <c r="H172" s="80">
        <v>5.7500000000000002E-2</v>
      </c>
      <c r="I172" s="80"/>
      <c r="J172" s="66"/>
      <c r="K172" s="66"/>
      <c r="L172" s="82">
        <v>1000000</v>
      </c>
      <c r="M172" s="82">
        <v>151000</v>
      </c>
      <c r="N172" s="82"/>
      <c r="O172" s="82"/>
      <c r="P172" s="69"/>
      <c r="Q172" s="157"/>
      <c r="R172" s="108"/>
      <c r="S172" s="158">
        <f>O172*J172/$R$10</f>
        <v>0</v>
      </c>
      <c r="T172" s="158"/>
    </row>
    <row r="173" spans="1:20" s="71" customFormat="1" ht="13.5" customHeight="1">
      <c r="A173" s="73"/>
      <c r="B173" s="73"/>
      <c r="C173" s="64" t="s">
        <v>48</v>
      </c>
      <c r="D173" s="65">
        <v>43146</v>
      </c>
      <c r="E173" s="66">
        <v>4.4499999999999998E-2</v>
      </c>
      <c r="F173" s="66">
        <v>5.9062499999999997E-2</v>
      </c>
      <c r="G173" s="66"/>
      <c r="H173" s="66">
        <v>6.5000000000000002E-2</v>
      </c>
      <c r="I173" s="66"/>
      <c r="J173" s="66"/>
      <c r="K173" s="66"/>
      <c r="L173" s="68"/>
      <c r="M173" s="68">
        <v>741000</v>
      </c>
      <c r="N173" s="68"/>
      <c r="O173" s="68"/>
      <c r="P173" s="69"/>
      <c r="Q173" s="108"/>
      <c r="R173" s="108"/>
      <c r="S173" s="158"/>
      <c r="T173" s="158"/>
    </row>
    <row r="174" spans="1:20" s="71" customFormat="1" ht="13.5" customHeight="1">
      <c r="A174" s="73"/>
      <c r="B174" s="73"/>
      <c r="C174" s="64" t="s">
        <v>49</v>
      </c>
      <c r="D174" s="65">
        <v>44576</v>
      </c>
      <c r="E174" s="66">
        <v>5.45E-2</v>
      </c>
      <c r="F174" s="66">
        <v>6.25E-2</v>
      </c>
      <c r="G174" s="66"/>
      <c r="H174" s="66">
        <v>6.7500000000000004E-2</v>
      </c>
      <c r="I174" s="66"/>
      <c r="J174" s="66"/>
      <c r="K174" s="66"/>
      <c r="L174" s="68"/>
      <c r="M174" s="68">
        <v>241000</v>
      </c>
      <c r="N174" s="68"/>
      <c r="O174" s="68"/>
      <c r="P174" s="69"/>
      <c r="Q174" s="108"/>
      <c r="R174" s="108"/>
      <c r="S174" s="158"/>
      <c r="T174" s="158"/>
    </row>
    <row r="175" spans="1:20" s="71" customFormat="1" ht="13.5" customHeight="1">
      <c r="A175" s="73"/>
      <c r="B175" s="73"/>
      <c r="C175" s="64" t="s">
        <v>50</v>
      </c>
      <c r="D175" s="65">
        <v>46402</v>
      </c>
      <c r="E175" s="66">
        <v>0.06</v>
      </c>
      <c r="F175" s="66">
        <v>6.5312499999999996E-2</v>
      </c>
      <c r="G175" s="66"/>
      <c r="H175" s="66">
        <v>7.0000000000000007E-2</v>
      </c>
      <c r="I175" s="66"/>
      <c r="J175" s="66"/>
      <c r="K175" s="66"/>
      <c r="L175" s="68"/>
      <c r="M175" s="68">
        <v>26000</v>
      </c>
      <c r="N175" s="68"/>
      <c r="O175" s="68"/>
      <c r="P175" s="69"/>
      <c r="Q175" s="108"/>
      <c r="R175" s="108" t="e">
        <f>O175*J175/$O$43</f>
        <v>#DIV/0!</v>
      </c>
      <c r="S175" s="158">
        <f>O175*J175/$R$10</f>
        <v>0</v>
      </c>
      <c r="T175" s="158"/>
    </row>
    <row r="176" spans="1:20" s="71" customFormat="1" ht="13.5" customHeight="1">
      <c r="A176" s="73"/>
      <c r="B176" s="73"/>
      <c r="C176" s="64" t="s">
        <v>53</v>
      </c>
      <c r="D176" s="65">
        <v>50086</v>
      </c>
      <c r="E176" s="66">
        <v>6.0999999999999999E-2</v>
      </c>
      <c r="F176" s="66">
        <v>6.7500000000000004E-2</v>
      </c>
      <c r="G176" s="66"/>
      <c r="H176" s="66">
        <v>7.2499999999999995E-2</v>
      </c>
      <c r="I176" s="66"/>
      <c r="J176" s="66"/>
      <c r="K176" s="66"/>
      <c r="L176" s="68"/>
      <c r="M176" s="68">
        <v>206000</v>
      </c>
      <c r="N176" s="68"/>
      <c r="O176" s="68"/>
      <c r="P176" s="69"/>
      <c r="Q176" s="108"/>
      <c r="R176" s="108" t="e">
        <f>O176*J176/$O$43</f>
        <v>#DIV/0!</v>
      </c>
      <c r="S176" s="158">
        <f>O176*J176/$R$10</f>
        <v>0</v>
      </c>
      <c r="T176" s="158"/>
    </row>
    <row r="177" spans="1:20" ht="13.5" customHeight="1">
      <c r="A177" s="124">
        <v>41177</v>
      </c>
      <c r="B177" s="124">
        <f>A177+2</f>
        <v>41179</v>
      </c>
      <c r="C177" s="125" t="s">
        <v>100</v>
      </c>
      <c r="D177" s="126">
        <v>41529</v>
      </c>
      <c r="E177" s="94"/>
      <c r="F177" s="128">
        <v>4.5937499999999999E-2</v>
      </c>
      <c r="G177" s="128">
        <v>4.7070300000000002E-2</v>
      </c>
      <c r="H177" s="128">
        <v>0.05</v>
      </c>
      <c r="I177" s="128">
        <v>4.5937499999999999E-2</v>
      </c>
      <c r="J177" s="94">
        <v>4.6809400000000001E-2</v>
      </c>
      <c r="K177" s="94">
        <v>4.7500000000000001E-2</v>
      </c>
      <c r="L177" s="130">
        <v>5000000</v>
      </c>
      <c r="M177" s="130">
        <v>1796000</v>
      </c>
      <c r="N177" s="130">
        <v>1150000</v>
      </c>
      <c r="O177" s="130">
        <v>1000000</v>
      </c>
      <c r="P177" s="97">
        <f t="shared" ref="P177:P192" si="11">M177/O177</f>
        <v>1.796</v>
      </c>
      <c r="Q177" s="132">
        <v>4.7E-2</v>
      </c>
      <c r="R177" s="56"/>
      <c r="S177" s="57">
        <f>O177*J177/$R$10</f>
        <v>47966503.651845053</v>
      </c>
      <c r="T177" s="57"/>
    </row>
    <row r="178" spans="1:20" ht="13.5" customHeight="1">
      <c r="A178" s="89"/>
      <c r="B178" s="89"/>
      <c r="C178" s="91" t="s">
        <v>34</v>
      </c>
      <c r="D178" s="92">
        <v>42840</v>
      </c>
      <c r="E178" s="94">
        <v>6.25E-2</v>
      </c>
      <c r="F178" s="94">
        <v>5.2812499999999998E-2</v>
      </c>
      <c r="G178" s="94">
        <v>5.5194300000000002E-2</v>
      </c>
      <c r="H178" s="94">
        <v>5.7500000000000002E-2</v>
      </c>
      <c r="I178" s="94">
        <v>5.2812499999999998E-2</v>
      </c>
      <c r="J178" s="94">
        <v>5.44783E-2</v>
      </c>
      <c r="K178" s="94">
        <v>5.5312500000000001E-2</v>
      </c>
      <c r="L178" s="96"/>
      <c r="M178" s="96">
        <v>1761000</v>
      </c>
      <c r="N178" s="96">
        <v>950000</v>
      </c>
      <c r="O178" s="96">
        <v>950000</v>
      </c>
      <c r="P178" s="97">
        <f t="shared" si="11"/>
        <v>1.8536842105263158</v>
      </c>
      <c r="Q178" s="98">
        <v>5.45E-2</v>
      </c>
      <c r="R178" s="56">
        <v>0</v>
      </c>
      <c r="S178" s="57">
        <v>0</v>
      </c>
      <c r="T178" s="57"/>
    </row>
    <row r="179" spans="1:20" ht="13.5" customHeight="1">
      <c r="A179" s="89"/>
      <c r="B179" s="89"/>
      <c r="C179" s="91" t="s">
        <v>94</v>
      </c>
      <c r="D179" s="92">
        <v>45061</v>
      </c>
      <c r="E179" s="94">
        <v>5.6250000000000001E-2</v>
      </c>
      <c r="F179" s="94">
        <v>5.9062499999999997E-2</v>
      </c>
      <c r="G179" s="94">
        <v>6.0377800000000002E-2</v>
      </c>
      <c r="H179" s="94">
        <v>6.21875E-2</v>
      </c>
      <c r="I179" s="94">
        <v>5.9062499999999997E-2</v>
      </c>
      <c r="J179" s="94">
        <v>5.9893099999999998E-2</v>
      </c>
      <c r="K179" s="94">
        <v>6.0312499999999998E-2</v>
      </c>
      <c r="L179" s="96"/>
      <c r="M179" s="96">
        <v>4200800</v>
      </c>
      <c r="N179" s="96">
        <v>2200000</v>
      </c>
      <c r="O179" s="96">
        <v>2200000</v>
      </c>
      <c r="P179" s="97">
        <f t="shared" si="11"/>
        <v>1.9094545454545455</v>
      </c>
      <c r="Q179" s="98">
        <v>5.9900000000000002E-2</v>
      </c>
      <c r="R179" s="56">
        <v>0</v>
      </c>
      <c r="S179" s="57">
        <v>0</v>
      </c>
      <c r="T179" s="57"/>
    </row>
    <row r="180" spans="1:20" ht="13.5" customHeight="1">
      <c r="A180" s="89"/>
      <c r="B180" s="89"/>
      <c r="C180" s="91" t="s">
        <v>98</v>
      </c>
      <c r="D180" s="92">
        <v>48714</v>
      </c>
      <c r="E180" s="94">
        <v>6.6250000000000003E-2</v>
      </c>
      <c r="F180" s="94">
        <v>6.6875000000000004E-2</v>
      </c>
      <c r="G180" s="94">
        <v>6.7796400000000007E-2</v>
      </c>
      <c r="H180" s="94">
        <v>6.9062499999999999E-2</v>
      </c>
      <c r="I180" s="94">
        <v>6.6875000000000004E-2</v>
      </c>
      <c r="J180" s="94">
        <v>6.7299300000000006E-2</v>
      </c>
      <c r="K180" s="94">
        <v>6.7500000000000004E-2</v>
      </c>
      <c r="L180" s="96"/>
      <c r="M180" s="96">
        <v>4118000</v>
      </c>
      <c r="N180" s="96">
        <v>1150000</v>
      </c>
      <c r="O180" s="96">
        <v>1150000</v>
      </c>
      <c r="P180" s="97">
        <f t="shared" si="11"/>
        <v>3.5808695652173914</v>
      </c>
      <c r="Q180" s="98">
        <v>6.7299999999999999E-2</v>
      </c>
      <c r="R180" s="56">
        <v>1.9887751488813776E-3</v>
      </c>
      <c r="S180" s="57">
        <v>29293528.561597757</v>
      </c>
      <c r="T180" s="57"/>
    </row>
    <row r="181" spans="1:20" s="71" customFormat="1" ht="13.5" customHeight="1">
      <c r="A181" s="76">
        <v>41184</v>
      </c>
      <c r="B181" s="76">
        <v>41186</v>
      </c>
      <c r="C181" s="77" t="s">
        <v>108</v>
      </c>
      <c r="D181" s="78">
        <v>41367</v>
      </c>
      <c r="E181" s="66"/>
      <c r="F181" s="80">
        <v>4.4999999999999998E-2</v>
      </c>
      <c r="G181" s="80"/>
      <c r="H181" s="80">
        <v>5.7500000000000002E-2</v>
      </c>
      <c r="I181" s="80">
        <v>4.4999999999999998E-2</v>
      </c>
      <c r="J181" s="66">
        <v>4.6944399999999997E-2</v>
      </c>
      <c r="K181" s="66"/>
      <c r="L181" s="82">
        <v>1000000</v>
      </c>
      <c r="M181" s="82">
        <v>265000</v>
      </c>
      <c r="N181" s="82"/>
      <c r="O181" s="82">
        <v>90000</v>
      </c>
      <c r="P181" s="69">
        <f t="shared" si="11"/>
        <v>2.9444444444444446</v>
      </c>
      <c r="Q181" s="157"/>
      <c r="R181" s="108"/>
      <c r="S181" s="158">
        <f>O181*J181/$R$10</f>
        <v>4329435.6702506486</v>
      </c>
      <c r="T181" s="158"/>
    </row>
    <row r="182" spans="1:20" s="71" customFormat="1" ht="13.5" customHeight="1">
      <c r="A182" s="73"/>
      <c r="B182" s="73"/>
      <c r="C182" s="64" t="s">
        <v>48</v>
      </c>
      <c r="D182" s="65">
        <v>43146</v>
      </c>
      <c r="E182" s="66">
        <v>4.4499999999999998E-2</v>
      </c>
      <c r="F182" s="66">
        <v>5.9687499999999998E-2</v>
      </c>
      <c r="G182" s="66"/>
      <c r="H182" s="66">
        <v>6.5000000000000002E-2</v>
      </c>
      <c r="I182" s="66">
        <v>5.9687499999999998E-2</v>
      </c>
      <c r="J182" s="66">
        <v>6.0198000000000002E-2</v>
      </c>
      <c r="K182" s="66"/>
      <c r="L182" s="68"/>
      <c r="M182" s="68">
        <v>756000</v>
      </c>
      <c r="N182" s="68"/>
      <c r="O182" s="68">
        <v>460000</v>
      </c>
      <c r="P182" s="69">
        <f t="shared" si="11"/>
        <v>1.6434782608695653</v>
      </c>
      <c r="Q182" s="108"/>
      <c r="R182" s="108"/>
      <c r="S182" s="158"/>
      <c r="T182" s="158"/>
    </row>
    <row r="183" spans="1:20" s="71" customFormat="1" ht="13.5" customHeight="1">
      <c r="A183" s="73"/>
      <c r="B183" s="73"/>
      <c r="C183" s="64" t="s">
        <v>49</v>
      </c>
      <c r="D183" s="65">
        <v>44576</v>
      </c>
      <c r="E183" s="66">
        <v>5.45E-2</v>
      </c>
      <c r="F183" s="66">
        <v>6.25E-2</v>
      </c>
      <c r="G183" s="66"/>
      <c r="H183" s="66">
        <v>6.7500000000000004E-2</v>
      </c>
      <c r="I183" s="66"/>
      <c r="J183" s="66"/>
      <c r="K183" s="66"/>
      <c r="L183" s="68"/>
      <c r="M183" s="68">
        <v>209000</v>
      </c>
      <c r="N183" s="68"/>
      <c r="O183" s="68"/>
      <c r="P183" s="69"/>
      <c r="Q183" s="108"/>
      <c r="R183" s="108"/>
      <c r="S183" s="158"/>
      <c r="T183" s="158"/>
    </row>
    <row r="184" spans="1:20" s="71" customFormat="1" ht="13.5" customHeight="1">
      <c r="A184" s="73"/>
      <c r="B184" s="73"/>
      <c r="C184" s="64" t="s">
        <v>50</v>
      </c>
      <c r="D184" s="65">
        <v>46402</v>
      </c>
      <c r="E184" s="66">
        <v>0.06</v>
      </c>
      <c r="F184" s="66">
        <v>6.6250000000000003E-2</v>
      </c>
      <c r="G184" s="66"/>
      <c r="H184" s="66">
        <v>7.0000000000000007E-2</v>
      </c>
      <c r="I184" s="66"/>
      <c r="J184" s="66"/>
      <c r="K184" s="66"/>
      <c r="L184" s="68"/>
      <c r="M184" s="68">
        <v>68000</v>
      </c>
      <c r="N184" s="68"/>
      <c r="O184" s="68"/>
      <c r="P184" s="69"/>
      <c r="Q184" s="108"/>
      <c r="R184" s="108" t="e">
        <f>O184*J184/$O$43</f>
        <v>#DIV/0!</v>
      </c>
      <c r="S184" s="158">
        <f>O184*J184/$R$10</f>
        <v>0</v>
      </c>
      <c r="T184" s="158"/>
    </row>
    <row r="185" spans="1:20" s="71" customFormat="1" ht="13.5" customHeight="1">
      <c r="A185" s="73"/>
      <c r="B185" s="73"/>
      <c r="C185" s="64" t="s">
        <v>53</v>
      </c>
      <c r="D185" s="65">
        <v>50086</v>
      </c>
      <c r="E185" s="66">
        <v>6.0999999999999999E-2</v>
      </c>
      <c r="F185" s="66">
        <v>6.8125000000000005E-2</v>
      </c>
      <c r="G185" s="66"/>
      <c r="H185" s="66">
        <v>7.2499999999999995E-2</v>
      </c>
      <c r="I185" s="66">
        <v>6.8125000000000005E-2</v>
      </c>
      <c r="J185" s="66">
        <v>6.8398899999999999E-2</v>
      </c>
      <c r="K185" s="66"/>
      <c r="L185" s="68"/>
      <c r="M185" s="68">
        <v>102000</v>
      </c>
      <c r="N185" s="68"/>
      <c r="O185" s="68">
        <v>81000</v>
      </c>
      <c r="P185" s="69">
        <f t="shared" si="11"/>
        <v>1.2592592592592593</v>
      </c>
      <c r="Q185" s="108"/>
      <c r="R185" s="108" t="e">
        <f>O185*J185/$O$43</f>
        <v>#DIV/0!</v>
      </c>
      <c r="S185" s="158">
        <f>O185*J185/$R$10</f>
        <v>5677264.4600701332</v>
      </c>
      <c r="T185" s="158"/>
    </row>
    <row r="186" spans="1:20" ht="13.5" customHeight="1">
      <c r="A186" s="124">
        <v>41186</v>
      </c>
      <c r="B186" s="124">
        <v>41190</v>
      </c>
      <c r="C186" s="125" t="s">
        <v>105</v>
      </c>
      <c r="D186" s="126">
        <v>41281</v>
      </c>
      <c r="E186" s="94"/>
      <c r="F186" s="128">
        <v>3.9687500000000001E-2</v>
      </c>
      <c r="G186" s="128">
        <v>4.1053199999999998E-2</v>
      </c>
      <c r="H186" s="128">
        <v>0.05</v>
      </c>
      <c r="I186" s="128">
        <v>3.9687500000000001E-2</v>
      </c>
      <c r="J186" s="94">
        <v>4.0156299999999999E-2</v>
      </c>
      <c r="K186" s="94">
        <v>4.0312500000000001E-2</v>
      </c>
      <c r="L186" s="130">
        <v>5000000</v>
      </c>
      <c r="M186" s="130">
        <v>3711000</v>
      </c>
      <c r="N186" s="130">
        <v>2350000</v>
      </c>
      <c r="O186" s="130">
        <v>1000000</v>
      </c>
      <c r="P186" s="97">
        <f t="shared" si="11"/>
        <v>3.7109999999999999</v>
      </c>
      <c r="Q186" s="132">
        <v>4.0500000000000001E-2</v>
      </c>
      <c r="R186" s="56"/>
      <c r="S186" s="57">
        <f>O186*J186/$R$10</f>
        <v>41148942.532794379</v>
      </c>
      <c r="T186" s="57"/>
    </row>
    <row r="187" spans="1:20" ht="13.5" customHeight="1">
      <c r="A187" s="89"/>
      <c r="B187" s="89"/>
      <c r="C187" s="91" t="s">
        <v>106</v>
      </c>
      <c r="D187" s="92">
        <v>41554</v>
      </c>
      <c r="E187" s="94"/>
      <c r="F187" s="94">
        <v>4.0937500000000002E-2</v>
      </c>
      <c r="G187" s="94">
        <v>4.6291100000000002E-2</v>
      </c>
      <c r="H187" s="94">
        <v>0.05</v>
      </c>
      <c r="I187" s="94">
        <v>4.0937500000000002E-2</v>
      </c>
      <c r="J187" s="94">
        <v>4.4499999999999998E-2</v>
      </c>
      <c r="K187" s="94">
        <v>4.6875E-2</v>
      </c>
      <c r="L187" s="96"/>
      <c r="M187" s="96">
        <v>2450000</v>
      </c>
      <c r="N187" s="96">
        <v>2450000</v>
      </c>
      <c r="O187" s="96">
        <v>1000000</v>
      </c>
      <c r="P187" s="97">
        <f t="shared" si="11"/>
        <v>2.4500000000000002</v>
      </c>
      <c r="Q187" s="98">
        <v>4.6800000000000001E-2</v>
      </c>
      <c r="R187" s="56"/>
      <c r="S187" s="57"/>
      <c r="T187" s="57"/>
    </row>
    <row r="188" spans="1:20" ht="13.5" customHeight="1">
      <c r="A188" s="89"/>
      <c r="B188" s="89"/>
      <c r="C188" s="91" t="s">
        <v>94</v>
      </c>
      <c r="D188" s="92">
        <v>45061</v>
      </c>
      <c r="E188" s="94">
        <v>5.6250000000000001E-2</v>
      </c>
      <c r="F188" s="94">
        <v>5.8437500000000003E-2</v>
      </c>
      <c r="G188" s="94">
        <v>5.9094099999999997E-2</v>
      </c>
      <c r="H188" s="94">
        <v>6.0312499999999998E-2</v>
      </c>
      <c r="I188" s="94">
        <v>5.8437500000000003E-2</v>
      </c>
      <c r="J188" s="94">
        <v>5.8699099999999997E-2</v>
      </c>
      <c r="K188" s="94">
        <v>5.8749999999999997E-2</v>
      </c>
      <c r="L188" s="96"/>
      <c r="M188" s="96">
        <v>3366000</v>
      </c>
      <c r="N188" s="96">
        <v>3366000</v>
      </c>
      <c r="O188" s="96">
        <v>1600000</v>
      </c>
      <c r="P188" s="97">
        <f t="shared" si="11"/>
        <v>2.1037499999999998</v>
      </c>
      <c r="Q188" s="98">
        <v>5.91E-2</v>
      </c>
      <c r="R188" s="56">
        <v>0</v>
      </c>
      <c r="S188" s="57">
        <v>0</v>
      </c>
      <c r="T188" s="57"/>
    </row>
    <row r="189" spans="1:20" ht="13.5" customHeight="1">
      <c r="A189" s="89"/>
      <c r="B189" s="89"/>
      <c r="C189" s="91" t="s">
        <v>95</v>
      </c>
      <c r="D189" s="92">
        <v>46888</v>
      </c>
      <c r="E189" s="94">
        <v>6.1249999999999999E-2</v>
      </c>
      <c r="F189" s="94">
        <v>6.21875E-2</v>
      </c>
      <c r="G189" s="94">
        <v>6.3306899999999999E-2</v>
      </c>
      <c r="H189" s="94">
        <v>6.5312499999999996E-2</v>
      </c>
      <c r="I189" s="94">
        <v>6.21875E-2</v>
      </c>
      <c r="J189" s="94">
        <v>6.2998399999999996E-2</v>
      </c>
      <c r="K189" s="94">
        <v>6.3125000000000001E-2</v>
      </c>
      <c r="L189" s="96"/>
      <c r="M189" s="96">
        <v>2547500</v>
      </c>
      <c r="N189" s="96">
        <v>1500000</v>
      </c>
      <c r="O189" s="96">
        <v>1500000</v>
      </c>
      <c r="P189" s="97">
        <f t="shared" si="11"/>
        <v>1.6983333333333333</v>
      </c>
      <c r="Q189" s="98">
        <v>6.3E-2</v>
      </c>
      <c r="R189" s="56">
        <v>0</v>
      </c>
      <c r="S189" s="57">
        <v>0</v>
      </c>
      <c r="T189" s="57"/>
    </row>
    <row r="190" spans="1:20" ht="13.5" customHeight="1">
      <c r="A190" s="89"/>
      <c r="B190" s="89"/>
      <c r="C190" s="91" t="s">
        <v>98</v>
      </c>
      <c r="D190" s="92">
        <v>48714</v>
      </c>
      <c r="E190" s="94">
        <v>6.6250000000000003E-2</v>
      </c>
      <c r="F190" s="94">
        <v>6.5312499999999996E-2</v>
      </c>
      <c r="G190" s="94">
        <v>6.6240099999999996E-2</v>
      </c>
      <c r="H190" s="94">
        <v>6.8125000000000005E-2</v>
      </c>
      <c r="I190" s="94">
        <v>6.5312499999999996E-2</v>
      </c>
      <c r="J190" s="94">
        <v>6.5821299999999999E-2</v>
      </c>
      <c r="K190" s="94">
        <v>6.5937499999999996E-2</v>
      </c>
      <c r="L190" s="96"/>
      <c r="M190" s="96">
        <v>6752400</v>
      </c>
      <c r="N190" s="96">
        <v>6752400</v>
      </c>
      <c r="O190" s="96">
        <v>2400000</v>
      </c>
      <c r="P190" s="97">
        <f t="shared" si="11"/>
        <v>2.8134999999999999</v>
      </c>
      <c r="Q190" s="98">
        <v>6.6299999999999998E-2</v>
      </c>
      <c r="R190" s="56">
        <v>1.9887751488813776E-3</v>
      </c>
      <c r="S190" s="57">
        <v>29293528.561597757</v>
      </c>
      <c r="T190" s="57"/>
    </row>
    <row r="191" spans="1:20" s="71" customFormat="1" ht="13.5" customHeight="1">
      <c r="A191" s="76">
        <v>41190</v>
      </c>
      <c r="B191" s="76">
        <f>A191+2</f>
        <v>41192</v>
      </c>
      <c r="C191" s="64" t="s">
        <v>107</v>
      </c>
      <c r="D191" s="65">
        <v>42292</v>
      </c>
      <c r="E191" s="66">
        <v>6.25E-2</v>
      </c>
      <c r="F191" s="80"/>
      <c r="G191" s="80"/>
      <c r="H191" s="80"/>
      <c r="I191" s="80"/>
      <c r="J191" s="66">
        <v>6.25E-2</v>
      </c>
      <c r="K191" s="66"/>
      <c r="L191" s="82">
        <v>12000000</v>
      </c>
      <c r="M191" s="82">
        <v>12765145</v>
      </c>
      <c r="N191" s="82">
        <v>12676745</v>
      </c>
      <c r="O191" s="82">
        <v>12676745</v>
      </c>
      <c r="P191" s="69">
        <f t="shared" si="11"/>
        <v>1.0069733989285103</v>
      </c>
      <c r="Q191" s="157"/>
      <c r="R191" s="108"/>
      <c r="S191" s="158">
        <f>O191*J191/$R$10</f>
        <v>811881715.17901385</v>
      </c>
      <c r="T191" s="158"/>
    </row>
    <row r="192" spans="1:20" ht="13.5" customHeight="1">
      <c r="A192" s="124">
        <v>41198</v>
      </c>
      <c r="B192" s="124">
        <v>41200</v>
      </c>
      <c r="C192" s="125" t="s">
        <v>109</v>
      </c>
      <c r="D192" s="126">
        <v>41381</v>
      </c>
      <c r="E192" s="94"/>
      <c r="F192" s="128">
        <v>4.7500000000000001E-2</v>
      </c>
      <c r="G192" s="128"/>
      <c r="H192" s="128">
        <v>5.5E-2</v>
      </c>
      <c r="I192" s="128">
        <v>4.7500000000000001E-2</v>
      </c>
      <c r="J192" s="94">
        <v>4.7500000000000001E-2</v>
      </c>
      <c r="K192" s="94"/>
      <c r="L192" s="130">
        <v>1000000</v>
      </c>
      <c r="M192" s="130">
        <v>226000</v>
      </c>
      <c r="N192" s="130"/>
      <c r="O192" s="130">
        <v>105000</v>
      </c>
      <c r="P192" s="97">
        <f t="shared" si="11"/>
        <v>2.1523809523809523</v>
      </c>
      <c r="Q192" s="132"/>
      <c r="R192" s="56"/>
      <c r="S192" s="57">
        <f>O192*J192/$R$10</f>
        <v>5110788.3665156402</v>
      </c>
      <c r="T192" s="57"/>
    </row>
    <row r="193" spans="1:20" ht="13.5" customHeight="1">
      <c r="A193" s="89"/>
      <c r="B193" s="89"/>
      <c r="C193" s="91" t="s">
        <v>48</v>
      </c>
      <c r="D193" s="92">
        <v>43146</v>
      </c>
      <c r="E193" s="94">
        <v>4.4499999999999998E-2</v>
      </c>
      <c r="F193" s="94">
        <v>5.9374999999999997E-2</v>
      </c>
      <c r="G193" s="94"/>
      <c r="H193" s="94">
        <v>6.5000000000000002E-2</v>
      </c>
      <c r="I193" s="94"/>
      <c r="J193" s="94"/>
      <c r="K193" s="94"/>
      <c r="L193" s="96"/>
      <c r="M193" s="96">
        <v>1256000</v>
      </c>
      <c r="N193" s="96"/>
      <c r="O193" s="96"/>
      <c r="P193" s="97"/>
      <c r="Q193" s="98"/>
      <c r="R193" s="56"/>
      <c r="S193" s="57"/>
      <c r="T193" s="57"/>
    </row>
    <row r="194" spans="1:20" ht="13.5" customHeight="1">
      <c r="A194" s="89"/>
      <c r="B194" s="89"/>
      <c r="C194" s="91" t="s">
        <v>49</v>
      </c>
      <c r="D194" s="92">
        <v>44576</v>
      </c>
      <c r="E194" s="94">
        <v>5.45E-2</v>
      </c>
      <c r="F194" s="94">
        <v>6.1562499999999999E-2</v>
      </c>
      <c r="G194" s="94"/>
      <c r="H194" s="94">
        <v>7.0000000000000007E-2</v>
      </c>
      <c r="I194" s="94"/>
      <c r="J194" s="94"/>
      <c r="K194" s="94"/>
      <c r="L194" s="96"/>
      <c r="M194" s="96">
        <v>193000</v>
      </c>
      <c r="N194" s="96"/>
      <c r="O194" s="96"/>
      <c r="P194" s="97"/>
      <c r="Q194" s="98"/>
      <c r="R194" s="56"/>
      <c r="S194" s="57"/>
      <c r="T194" s="57"/>
    </row>
    <row r="195" spans="1:20" ht="13.5" customHeight="1">
      <c r="A195" s="89"/>
      <c r="B195" s="89"/>
      <c r="C195" s="91" t="s">
        <v>50</v>
      </c>
      <c r="D195" s="92">
        <v>46402</v>
      </c>
      <c r="E195" s="94">
        <v>0.06</v>
      </c>
      <c r="F195" s="94">
        <v>6.5625000000000003E-2</v>
      </c>
      <c r="G195" s="94"/>
      <c r="H195" s="94">
        <v>7.2499999999999995E-2</v>
      </c>
      <c r="I195" s="94"/>
      <c r="J195" s="94"/>
      <c r="K195" s="94"/>
      <c r="L195" s="96"/>
      <c r="M195" s="96">
        <v>205000</v>
      </c>
      <c r="N195" s="96"/>
      <c r="O195" s="96"/>
      <c r="P195" s="97"/>
      <c r="Q195" s="98"/>
      <c r="R195" s="56" t="e">
        <f>O195*J195/$O$43</f>
        <v>#DIV/0!</v>
      </c>
      <c r="S195" s="57">
        <f>O195*J195/$R$10</f>
        <v>0</v>
      </c>
      <c r="T195" s="57"/>
    </row>
    <row r="196" spans="1:20" ht="13.5" customHeight="1">
      <c r="A196" s="89"/>
      <c r="B196" s="89"/>
      <c r="C196" s="91" t="s">
        <v>53</v>
      </c>
      <c r="D196" s="92">
        <v>50086</v>
      </c>
      <c r="E196" s="94">
        <v>6.0999999999999999E-2</v>
      </c>
      <c r="F196" s="94">
        <v>6.7187499999999997E-2</v>
      </c>
      <c r="G196" s="94"/>
      <c r="H196" s="94">
        <v>7.4999999999999997E-2</v>
      </c>
      <c r="I196" s="94">
        <v>6.7187499999999997E-2</v>
      </c>
      <c r="J196" s="94">
        <v>6.8368899999999996E-2</v>
      </c>
      <c r="K196" s="94"/>
      <c r="L196" s="96"/>
      <c r="M196" s="96">
        <v>261000</v>
      </c>
      <c r="N196" s="96"/>
      <c r="O196" s="96">
        <v>260000</v>
      </c>
      <c r="P196" s="97">
        <f t="shared" ref="P196:P202" si="12">M196/O196</f>
        <v>1.0038461538461538</v>
      </c>
      <c r="Q196" s="98"/>
      <c r="R196" s="56" t="e">
        <f>O196*J196/$O$43</f>
        <v>#DIV/0!</v>
      </c>
      <c r="S196" s="57">
        <f>O196*J196/$R$10</f>
        <v>18215325.208096739</v>
      </c>
      <c r="T196" s="57"/>
    </row>
    <row r="197" spans="1:20" s="71" customFormat="1" ht="13.5" customHeight="1">
      <c r="A197" s="76">
        <v>41205</v>
      </c>
      <c r="B197" s="76">
        <v>41207</v>
      </c>
      <c r="C197" s="64" t="s">
        <v>106</v>
      </c>
      <c r="D197" s="65">
        <v>41554</v>
      </c>
      <c r="E197" s="66"/>
      <c r="F197" s="66">
        <v>4.4687499999999998E-2</v>
      </c>
      <c r="G197" s="66">
        <v>4.72273E-2</v>
      </c>
      <c r="H197" s="66">
        <v>4.8125000000000001E-2</v>
      </c>
      <c r="I197" s="66">
        <v>4.4687499999999998E-2</v>
      </c>
      <c r="J197" s="66">
        <v>4.5656299999999997E-2</v>
      </c>
      <c r="K197" s="66">
        <v>4.6875E-2</v>
      </c>
      <c r="L197" s="68">
        <v>6000000</v>
      </c>
      <c r="M197" s="68">
        <v>1510000</v>
      </c>
      <c r="N197" s="68">
        <v>200000</v>
      </c>
      <c r="O197" s="68">
        <v>200000</v>
      </c>
      <c r="P197" s="69">
        <f t="shared" si="12"/>
        <v>7.55</v>
      </c>
      <c r="Q197" s="108">
        <v>4.5999999999999999E-2</v>
      </c>
      <c r="R197" s="108"/>
      <c r="S197" s="158"/>
      <c r="T197" s="158"/>
    </row>
    <row r="198" spans="1:20" s="71" customFormat="1" ht="13.5" customHeight="1">
      <c r="A198" s="73"/>
      <c r="B198" s="73"/>
      <c r="C198" s="64" t="s">
        <v>110</v>
      </c>
      <c r="D198" s="65">
        <v>45061</v>
      </c>
      <c r="E198" s="66">
        <v>5.6250000000000001E-2</v>
      </c>
      <c r="F198" s="66">
        <v>5.1874999999999998E-2</v>
      </c>
      <c r="G198" s="66">
        <v>5.44795E-2</v>
      </c>
      <c r="H198" s="66">
        <v>5.6562500000000002E-2</v>
      </c>
      <c r="I198" s="66">
        <v>5.1874999999999998E-2</v>
      </c>
      <c r="J198" s="66">
        <v>5.3864299999999997E-2</v>
      </c>
      <c r="K198" s="66">
        <v>5.46875E-2</v>
      </c>
      <c r="L198" s="68"/>
      <c r="M198" s="68">
        <v>4306000</v>
      </c>
      <c r="N198" s="68">
        <v>3100000</v>
      </c>
      <c r="O198" s="68">
        <v>2550000</v>
      </c>
      <c r="P198" s="69">
        <f t="shared" si="12"/>
        <v>1.6886274509803922</v>
      </c>
      <c r="Q198" s="108">
        <v>5.4100000000000002E-2</v>
      </c>
      <c r="R198" s="108">
        <v>0</v>
      </c>
      <c r="S198" s="158">
        <v>0</v>
      </c>
      <c r="T198" s="158"/>
    </row>
    <row r="199" spans="1:20" s="71" customFormat="1" ht="13.5" customHeight="1">
      <c r="A199" s="73"/>
      <c r="B199" s="73"/>
      <c r="C199" s="64" t="s">
        <v>94</v>
      </c>
      <c r="D199" s="65">
        <v>45061</v>
      </c>
      <c r="E199" s="66">
        <v>5.6250000000000001E-2</v>
      </c>
      <c r="F199" s="66">
        <v>5.5625000000000001E-2</v>
      </c>
      <c r="G199" s="66">
        <v>5.7547000000000001E-2</v>
      </c>
      <c r="H199" s="66">
        <v>5.8749999999999997E-2</v>
      </c>
      <c r="I199" s="66">
        <v>5.5625000000000001E-2</v>
      </c>
      <c r="J199" s="66">
        <v>5.7285700000000002E-2</v>
      </c>
      <c r="K199" s="66">
        <v>5.7500000000000002E-2</v>
      </c>
      <c r="L199" s="68"/>
      <c r="M199" s="68">
        <v>4917000</v>
      </c>
      <c r="N199" s="68">
        <v>3300000</v>
      </c>
      <c r="O199" s="68">
        <v>3250000</v>
      </c>
      <c r="P199" s="69">
        <f t="shared" si="12"/>
        <v>1.5129230769230768</v>
      </c>
      <c r="Q199" s="108">
        <v>5.7299999999999997E-2</v>
      </c>
      <c r="R199" s="108">
        <v>0</v>
      </c>
      <c r="S199" s="158">
        <v>0</v>
      </c>
      <c r="T199" s="158"/>
    </row>
    <row r="200" spans="1:20" s="71" customFormat="1" ht="13.5" customHeight="1">
      <c r="A200" s="73"/>
      <c r="B200" s="73"/>
      <c r="C200" s="64" t="s">
        <v>98</v>
      </c>
      <c r="D200" s="65">
        <v>48714</v>
      </c>
      <c r="E200" s="66">
        <v>6.6250000000000003E-2</v>
      </c>
      <c r="F200" s="66">
        <v>6.4687499999999995E-2</v>
      </c>
      <c r="G200" s="66">
        <v>6.5432900000000002E-2</v>
      </c>
      <c r="H200" s="66">
        <v>6.7500000000000004E-2</v>
      </c>
      <c r="I200" s="66">
        <v>6.4687499999999995E-2</v>
      </c>
      <c r="J200" s="66">
        <v>6.5143599999999996E-2</v>
      </c>
      <c r="K200" s="66">
        <v>6.5312499999999996E-2</v>
      </c>
      <c r="L200" s="68"/>
      <c r="M200" s="68">
        <v>7234000</v>
      </c>
      <c r="N200" s="68">
        <v>7234000</v>
      </c>
      <c r="O200" s="68">
        <v>3000000</v>
      </c>
      <c r="P200" s="69">
        <f t="shared" si="12"/>
        <v>2.4113333333333333</v>
      </c>
      <c r="Q200" s="108">
        <v>6.5500000000000003E-2</v>
      </c>
      <c r="R200" s="108">
        <v>1.9887751488813776E-3</v>
      </c>
      <c r="S200" s="158">
        <v>29293528.561597757</v>
      </c>
      <c r="T200" s="158"/>
    </row>
    <row r="201" spans="1:20" ht="13.5" customHeight="1">
      <c r="A201" s="124">
        <v>41212</v>
      </c>
      <c r="B201" s="124">
        <v>41214</v>
      </c>
      <c r="C201" s="125" t="s">
        <v>111</v>
      </c>
      <c r="D201" s="126">
        <v>41394</v>
      </c>
      <c r="E201" s="94"/>
      <c r="F201" s="128">
        <v>4.7812500000000001E-2</v>
      </c>
      <c r="G201" s="128"/>
      <c r="H201" s="128">
        <v>5.5E-2</v>
      </c>
      <c r="I201" s="128"/>
      <c r="J201" s="94"/>
      <c r="K201" s="94"/>
      <c r="L201" s="130">
        <v>1000000</v>
      </c>
      <c r="M201" s="130">
        <v>921000</v>
      </c>
      <c r="N201" s="130"/>
      <c r="O201" s="130"/>
      <c r="P201" s="97"/>
      <c r="Q201" s="132"/>
      <c r="R201" s="56"/>
      <c r="S201" s="57">
        <f>O201*J201/$R$10</f>
        <v>0</v>
      </c>
      <c r="T201" s="57"/>
    </row>
    <row r="202" spans="1:20" ht="13.5" customHeight="1">
      <c r="A202" s="89"/>
      <c r="B202" s="89"/>
      <c r="C202" s="91" t="s">
        <v>48</v>
      </c>
      <c r="D202" s="92">
        <v>43146</v>
      </c>
      <c r="E202" s="94">
        <v>4.4499999999999998E-2</v>
      </c>
      <c r="F202" s="94">
        <v>5.9687499999999998E-2</v>
      </c>
      <c r="G202" s="94"/>
      <c r="H202" s="94">
        <v>6.25E-2</v>
      </c>
      <c r="I202" s="94"/>
      <c r="J202" s="94">
        <v>6.0100000000000001E-2</v>
      </c>
      <c r="K202" s="94"/>
      <c r="L202" s="96"/>
      <c r="M202" s="96">
        <v>1286000</v>
      </c>
      <c r="N202" s="96"/>
      <c r="O202" s="96">
        <v>640000</v>
      </c>
      <c r="P202" s="97">
        <f t="shared" si="12"/>
        <v>2.0093749999999999</v>
      </c>
      <c r="Q202" s="98"/>
      <c r="R202" s="56"/>
      <c r="S202" s="57"/>
      <c r="T202" s="57"/>
    </row>
    <row r="203" spans="1:20" ht="13.5" customHeight="1">
      <c r="A203" s="89"/>
      <c r="B203" s="89"/>
      <c r="C203" s="91" t="s">
        <v>49</v>
      </c>
      <c r="D203" s="92">
        <v>44576</v>
      </c>
      <c r="E203" s="94">
        <v>5.45E-2</v>
      </c>
      <c r="F203" s="94">
        <v>6.1249999999999999E-2</v>
      </c>
      <c r="G203" s="94"/>
      <c r="H203" s="94">
        <v>6.7500000000000004E-2</v>
      </c>
      <c r="I203" s="94"/>
      <c r="J203" s="94"/>
      <c r="K203" s="94"/>
      <c r="L203" s="96"/>
      <c r="M203" s="96">
        <v>63000</v>
      </c>
      <c r="N203" s="96"/>
      <c r="O203" s="96"/>
      <c r="P203" s="97"/>
      <c r="Q203" s="98"/>
      <c r="R203" s="56"/>
      <c r="S203" s="57"/>
      <c r="T203" s="57"/>
    </row>
    <row r="204" spans="1:20" ht="13.5" customHeight="1">
      <c r="A204" s="89"/>
      <c r="B204" s="89"/>
      <c r="C204" s="91" t="s">
        <v>50</v>
      </c>
      <c r="D204" s="92">
        <v>46402</v>
      </c>
      <c r="E204" s="94">
        <v>0.06</v>
      </c>
      <c r="F204" s="94">
        <v>6.5937499999999996E-2</v>
      </c>
      <c r="G204" s="94"/>
      <c r="H204" s="94">
        <v>7.0000000000000007E-2</v>
      </c>
      <c r="I204" s="94"/>
      <c r="J204" s="94"/>
      <c r="K204" s="94"/>
      <c r="L204" s="96"/>
      <c r="M204" s="96">
        <v>66000</v>
      </c>
      <c r="N204" s="96"/>
      <c r="O204" s="96"/>
      <c r="P204" s="97"/>
      <c r="Q204" s="98"/>
      <c r="R204" s="56" t="e">
        <f>O204*J204/$O$43</f>
        <v>#DIV/0!</v>
      </c>
      <c r="S204" s="57">
        <f>O204*J204/$R$10</f>
        <v>0</v>
      </c>
      <c r="T204" s="57"/>
    </row>
    <row r="205" spans="1:20" ht="13.5" customHeight="1">
      <c r="A205" s="89"/>
      <c r="B205" s="89"/>
      <c r="C205" s="91" t="s">
        <v>53</v>
      </c>
      <c r="D205" s="92">
        <v>50086</v>
      </c>
      <c r="E205" s="94">
        <v>6.0999999999999999E-2</v>
      </c>
      <c r="F205" s="94">
        <v>6.7187499999999997E-2</v>
      </c>
      <c r="G205" s="94"/>
      <c r="H205" s="94">
        <v>7.4999999999999997E-2</v>
      </c>
      <c r="I205" s="94"/>
      <c r="J205" s="94">
        <v>6.8098500000000006E-2</v>
      </c>
      <c r="K205" s="94"/>
      <c r="L205" s="96"/>
      <c r="M205" s="96">
        <v>317000</v>
      </c>
      <c r="N205" s="96"/>
      <c r="O205" s="96">
        <v>273000</v>
      </c>
      <c r="P205" s="97">
        <f t="shared" ref="P205:P210" si="13">M205/O205</f>
        <v>1.1611721611721613</v>
      </c>
      <c r="Q205" s="98"/>
      <c r="R205" s="56" t="e">
        <f>O205*J205/$O$43</f>
        <v>#DIV/0!</v>
      </c>
      <c r="S205" s="57">
        <f>O205*J205/$R$10</f>
        <v>19050447.496855363</v>
      </c>
      <c r="T205" s="57"/>
    </row>
    <row r="206" spans="1:20" ht="13.5" customHeight="1">
      <c r="A206" s="76">
        <v>41225</v>
      </c>
      <c r="B206" s="76">
        <v>41227</v>
      </c>
      <c r="C206" s="77" t="s">
        <v>112</v>
      </c>
      <c r="D206" s="78">
        <v>41318</v>
      </c>
      <c r="E206" s="80"/>
      <c r="F206" s="80">
        <v>3.6874999999999998E-2</v>
      </c>
      <c r="G206" s="80">
        <v>3.9922800000000001E-2</v>
      </c>
      <c r="H206" s="80">
        <v>4.2812500000000003E-2</v>
      </c>
      <c r="I206" s="80">
        <v>3.6874999999999998E-2</v>
      </c>
      <c r="J206" s="80">
        <v>3.7249999999999998E-2</v>
      </c>
      <c r="K206" s="80">
        <v>3.7812499999999999E-2</v>
      </c>
      <c r="L206" s="82">
        <v>5000000</v>
      </c>
      <c r="M206" s="82">
        <v>4050000</v>
      </c>
      <c r="N206" s="82">
        <v>1800000</v>
      </c>
      <c r="O206" s="82">
        <v>1000000</v>
      </c>
      <c r="P206" s="84">
        <f t="shared" si="13"/>
        <v>4.05</v>
      </c>
      <c r="Q206" s="157">
        <v>3.7999999999999999E-2</v>
      </c>
      <c r="R206" s="56"/>
      <c r="S206" s="57">
        <f>O206*J206/$R$10</f>
        <v>38170800.331369944</v>
      </c>
      <c r="T206" s="57"/>
    </row>
    <row r="207" spans="1:20" ht="13.5" customHeight="1">
      <c r="A207" s="73"/>
      <c r="B207" s="73"/>
      <c r="C207" s="77" t="s">
        <v>113</v>
      </c>
      <c r="D207" s="65">
        <v>41591</v>
      </c>
      <c r="E207" s="66"/>
      <c r="F207" s="66">
        <v>4.5312499999999999E-2</v>
      </c>
      <c r="G207" s="66">
        <v>4.6971600000000002E-2</v>
      </c>
      <c r="H207" s="66">
        <v>0.05</v>
      </c>
      <c r="I207" s="66">
        <v>4.5312499999999999E-2</v>
      </c>
      <c r="J207" s="66">
        <v>4.6112500000000001E-2</v>
      </c>
      <c r="K207" s="66">
        <v>4.65625E-2</v>
      </c>
      <c r="L207" s="68"/>
      <c r="M207" s="68">
        <v>2561000</v>
      </c>
      <c r="N207" s="68">
        <v>1400000</v>
      </c>
      <c r="O207" s="68">
        <v>1000000</v>
      </c>
      <c r="P207" s="69">
        <f t="shared" si="13"/>
        <v>2.5609999999999999</v>
      </c>
      <c r="Q207" s="108">
        <v>4.65E-2</v>
      </c>
      <c r="R207" s="56"/>
      <c r="S207" s="57"/>
      <c r="T207" s="57"/>
    </row>
    <row r="208" spans="1:20" ht="13.5" customHeight="1">
      <c r="A208" s="73"/>
      <c r="B208" s="73"/>
      <c r="C208" s="64" t="s">
        <v>110</v>
      </c>
      <c r="D208" s="65">
        <v>43235</v>
      </c>
      <c r="E208" s="66">
        <v>5.2499999999999998E-2</v>
      </c>
      <c r="F208" s="66">
        <v>5.0625000000000003E-2</v>
      </c>
      <c r="G208" s="66">
        <v>5.2170300000000003E-2</v>
      </c>
      <c r="H208" s="66">
        <v>5.4375E-2</v>
      </c>
      <c r="I208" s="66">
        <v>5.0625000000000003E-2</v>
      </c>
      <c r="J208" s="66">
        <v>5.16205E-2</v>
      </c>
      <c r="K208" s="66">
        <v>5.1874999999999998E-2</v>
      </c>
      <c r="L208" s="68"/>
      <c r="M208" s="68">
        <v>5177000</v>
      </c>
      <c r="N208" s="68">
        <v>4600000</v>
      </c>
      <c r="O208" s="68">
        <v>2500000</v>
      </c>
      <c r="P208" s="69">
        <f t="shared" si="13"/>
        <v>2.0708000000000002</v>
      </c>
      <c r="Q208" s="108">
        <v>5.1999999999999998E-2</v>
      </c>
      <c r="R208" s="56">
        <v>0</v>
      </c>
      <c r="S208" s="57">
        <v>0</v>
      </c>
      <c r="T208" s="57"/>
    </row>
    <row r="209" spans="1:20" ht="13.5" customHeight="1">
      <c r="A209" s="73"/>
      <c r="B209" s="73"/>
      <c r="C209" s="64" t="s">
        <v>95</v>
      </c>
      <c r="D209" s="65">
        <v>46888</v>
      </c>
      <c r="E209" s="66">
        <v>6.1249999999999999E-2</v>
      </c>
      <c r="F209" s="66">
        <v>5.9687499999999998E-2</v>
      </c>
      <c r="G209" s="66">
        <v>6.0501899999999997E-2</v>
      </c>
      <c r="H209" s="66">
        <v>6.3750000000000001E-2</v>
      </c>
      <c r="I209" s="66">
        <v>5.9687499999999998E-2</v>
      </c>
      <c r="J209" s="66">
        <v>5.9989399999999998E-2</v>
      </c>
      <c r="K209" s="66">
        <v>0.06</v>
      </c>
      <c r="L209" s="68"/>
      <c r="M209" s="68">
        <v>9340000</v>
      </c>
      <c r="N209" s="68">
        <v>9300000</v>
      </c>
      <c r="O209" s="68">
        <v>1850000</v>
      </c>
      <c r="P209" s="69">
        <f t="shared" si="13"/>
        <v>5.0486486486486486</v>
      </c>
      <c r="Q209" s="108">
        <v>6.0499999999999998E-2</v>
      </c>
      <c r="R209" s="56">
        <v>0</v>
      </c>
      <c r="S209" s="57">
        <v>0</v>
      </c>
      <c r="T209" s="57"/>
    </row>
    <row r="210" spans="1:20" ht="13.5" customHeight="1">
      <c r="A210" s="164"/>
      <c r="B210" s="164"/>
      <c r="C210" s="159" t="s">
        <v>98</v>
      </c>
      <c r="D210" s="160">
        <v>48714</v>
      </c>
      <c r="E210" s="161">
        <v>6.6250000000000003E-2</v>
      </c>
      <c r="F210" s="161">
        <v>6.2812499999999993E-2</v>
      </c>
      <c r="G210" s="161">
        <v>6.3654799999999997E-2</v>
      </c>
      <c r="H210" s="161">
        <v>6.4375000000000002E-2</v>
      </c>
      <c r="I210" s="161">
        <v>6.2812499999999993E-2</v>
      </c>
      <c r="J210" s="161">
        <v>6.3262200000000005E-2</v>
      </c>
      <c r="K210" s="161">
        <v>6.3437499999999994E-2</v>
      </c>
      <c r="L210" s="162"/>
      <c r="M210" s="162">
        <v>7812000</v>
      </c>
      <c r="N210" s="162">
        <v>7150000</v>
      </c>
      <c r="O210" s="162">
        <v>1150000</v>
      </c>
      <c r="P210" s="69">
        <f t="shared" si="13"/>
        <v>6.79304347826087</v>
      </c>
      <c r="Q210" s="163">
        <v>6.3600000000000004E-2</v>
      </c>
      <c r="R210" s="56">
        <v>1.9887751488813776E-3</v>
      </c>
      <c r="S210" s="57">
        <v>29293528.561597757</v>
      </c>
      <c r="T210" s="57"/>
    </row>
    <row r="211" spans="1:20" ht="13.5" customHeight="1">
      <c r="A211" s="124">
        <v>41219</v>
      </c>
      <c r="B211" s="124">
        <v>41235</v>
      </c>
      <c r="C211" s="91" t="s">
        <v>114</v>
      </c>
      <c r="D211" s="92">
        <v>44887</v>
      </c>
      <c r="E211" s="94">
        <v>1.1299999999999999E-2</v>
      </c>
      <c r="F211" s="94"/>
      <c r="G211" s="94"/>
      <c r="H211" s="94"/>
      <c r="I211" s="94"/>
      <c r="J211" s="94"/>
      <c r="K211" s="94"/>
      <c r="L211" s="96">
        <v>7000000</v>
      </c>
      <c r="M211" s="166" t="s">
        <v>115</v>
      </c>
      <c r="N211" s="166" t="s">
        <v>115</v>
      </c>
      <c r="O211" s="166" t="s">
        <v>115</v>
      </c>
      <c r="P211" s="97"/>
      <c r="Q211" s="98">
        <v>4.5999999999999999E-2</v>
      </c>
      <c r="R211" s="56"/>
      <c r="S211" s="57"/>
      <c r="T211" s="57">
        <v>60000</v>
      </c>
    </row>
    <row r="212" spans="1:20" ht="13.5" customHeight="1">
      <c r="A212" s="89"/>
      <c r="B212" s="99"/>
      <c r="C212" s="91"/>
      <c r="D212" s="92"/>
      <c r="E212" s="94"/>
      <c r="F212" s="94"/>
      <c r="G212" s="94"/>
      <c r="H212" s="94"/>
      <c r="I212" s="94"/>
      <c r="J212" s="94"/>
      <c r="K212" s="94"/>
      <c r="L212" s="96"/>
      <c r="M212" s="96">
        <f>$T$211*$T$212</f>
        <v>7012308</v>
      </c>
      <c r="N212" s="96">
        <f>$T$211*$T$212</f>
        <v>7012308</v>
      </c>
      <c r="O212" s="96">
        <f>$T$211*$T$212</f>
        <v>7012308</v>
      </c>
      <c r="P212" s="97"/>
      <c r="Q212" s="98"/>
      <c r="R212" s="56"/>
      <c r="S212" s="57"/>
      <c r="T212" s="57">
        <v>116.87179999999999</v>
      </c>
    </row>
    <row r="213" spans="1:20" s="71" customFormat="1" ht="13.5" customHeight="1">
      <c r="A213" s="76">
        <v>41227</v>
      </c>
      <c r="B213" s="76">
        <v>41234</v>
      </c>
      <c r="C213" s="64" t="s">
        <v>116</v>
      </c>
      <c r="D213" s="65">
        <v>44886</v>
      </c>
      <c r="E213" s="66">
        <v>3.3000000000000002E-2</v>
      </c>
      <c r="F213" s="66"/>
      <c r="G213" s="66"/>
      <c r="H213" s="66"/>
      <c r="I213" s="66"/>
      <c r="J213" s="66"/>
      <c r="K213" s="66"/>
      <c r="L213" s="68">
        <v>9000000</v>
      </c>
      <c r="M213" s="152" t="s">
        <v>117</v>
      </c>
      <c r="N213" s="152" t="s">
        <v>117</v>
      </c>
      <c r="O213" s="152" t="s">
        <v>117</v>
      </c>
      <c r="P213" s="69"/>
      <c r="Q213" s="108">
        <v>4.5999999999999999E-2</v>
      </c>
      <c r="R213" s="108"/>
      <c r="S213" s="158"/>
      <c r="T213" s="158">
        <v>1000</v>
      </c>
    </row>
    <row r="214" spans="1:20" s="71" customFormat="1" ht="13.5" customHeight="1">
      <c r="A214" s="73"/>
      <c r="B214" s="110"/>
      <c r="C214" s="64"/>
      <c r="D214" s="65"/>
      <c r="E214" s="66"/>
      <c r="F214" s="66"/>
      <c r="G214" s="66"/>
      <c r="H214" s="66"/>
      <c r="I214" s="66"/>
      <c r="J214" s="66"/>
      <c r="K214" s="66"/>
      <c r="L214" s="68"/>
      <c r="M214" s="68">
        <f>$T$213*$T$214</f>
        <v>9639000</v>
      </c>
      <c r="N214" s="68">
        <f>$T$213*$T$214</f>
        <v>9639000</v>
      </c>
      <c r="O214" s="68">
        <f>$T$213*$T$214</f>
        <v>9639000</v>
      </c>
      <c r="P214" s="69"/>
      <c r="Q214" s="108"/>
      <c r="R214" s="108"/>
      <c r="S214" s="158"/>
      <c r="T214" s="158">
        <v>9639</v>
      </c>
    </row>
    <row r="215" spans="1:20" ht="13.5" customHeight="1">
      <c r="A215" s="124">
        <v>41246</v>
      </c>
      <c r="B215" s="124">
        <v>41248</v>
      </c>
      <c r="C215" s="91" t="s">
        <v>118</v>
      </c>
      <c r="D215" s="92">
        <v>41337</v>
      </c>
      <c r="E215" s="94"/>
      <c r="F215" s="94">
        <v>1.90625E-2</v>
      </c>
      <c r="G215" s="94">
        <v>3.3067300000000001E-2</v>
      </c>
      <c r="H215" s="94">
        <v>0.05</v>
      </c>
      <c r="I215" s="94">
        <v>1.90625E-2</v>
      </c>
      <c r="J215" s="94">
        <v>1.9508899999999999E-2</v>
      </c>
      <c r="K215" s="94">
        <v>0.02</v>
      </c>
      <c r="L215" s="96">
        <v>1000000</v>
      </c>
      <c r="M215" s="166">
        <v>5236000</v>
      </c>
      <c r="N215" s="166">
        <v>5236000</v>
      </c>
      <c r="O215" s="166">
        <v>700000</v>
      </c>
      <c r="P215" s="97">
        <f>M215/O215</f>
        <v>7.48</v>
      </c>
      <c r="Q215" s="98">
        <v>3.5000000000000003E-2</v>
      </c>
      <c r="R215" s="56"/>
      <c r="S215" s="57">
        <f>O215*J215/$R$10</f>
        <v>13993804.794879572</v>
      </c>
      <c r="T215" s="57"/>
    </row>
    <row r="216" spans="1:20" ht="13.5" customHeight="1">
      <c r="A216" s="89"/>
      <c r="B216" s="99"/>
      <c r="C216" s="91" t="s">
        <v>119</v>
      </c>
      <c r="D216" s="92">
        <v>41612</v>
      </c>
      <c r="E216" s="94"/>
      <c r="F216" s="94">
        <v>4.2187500000000003E-2</v>
      </c>
      <c r="G216" s="94">
        <v>4.54952E-2</v>
      </c>
      <c r="H216" s="94">
        <v>7.0000000000000007E-2</v>
      </c>
      <c r="I216" s="94">
        <v>4.2187500000000003E-2</v>
      </c>
      <c r="J216" s="94">
        <v>4.2187500000000003E-2</v>
      </c>
      <c r="K216" s="94">
        <v>4.2187500000000003E-2</v>
      </c>
      <c r="L216" s="96"/>
      <c r="M216" s="96">
        <v>3917000</v>
      </c>
      <c r="N216" s="96">
        <v>1300000</v>
      </c>
      <c r="O216" s="96">
        <v>500000</v>
      </c>
      <c r="P216" s="97">
        <f>M216/O216</f>
        <v>7.8339999999999996</v>
      </c>
      <c r="Q216" s="98">
        <v>4.41E-2</v>
      </c>
      <c r="R216" s="56"/>
      <c r="S216" s="57"/>
      <c r="T216" s="57"/>
    </row>
    <row r="217" spans="1:20" ht="13.5" customHeight="1">
      <c r="A217" s="30" t="s">
        <v>17</v>
      </c>
      <c r="B217" s="31"/>
      <c r="C217" s="32"/>
      <c r="D217" s="33" t="s">
        <v>18</v>
      </c>
      <c r="E217" s="34"/>
      <c r="F217" s="34"/>
      <c r="G217" s="34"/>
      <c r="H217" s="34"/>
      <c r="I217" s="34"/>
      <c r="J217" s="35"/>
      <c r="K217" s="35"/>
      <c r="L217" s="36">
        <f>SUM(L6:L216)</f>
        <v>241130000</v>
      </c>
      <c r="M217" s="36">
        <f>SUM(M6:M216)</f>
        <v>650421058</v>
      </c>
      <c r="N217" s="36">
        <f>SUM(N6:N216)</f>
        <v>342523758</v>
      </c>
      <c r="O217" s="36">
        <f>SUM(O6:O216)</f>
        <v>268547858</v>
      </c>
      <c r="P217" s="37">
        <f>M217/O217</f>
        <v>2.4219930959196105</v>
      </c>
      <c r="Q217" s="38"/>
      <c r="R217" s="87">
        <f>SUM(R6:R12)</f>
        <v>1.6493557546826533E-3</v>
      </c>
    </row>
    <row r="218" spans="1:20">
      <c r="M218" s="39">
        <f>M217</f>
        <v>650421058</v>
      </c>
      <c r="N218" s="39">
        <f>N217</f>
        <v>342523758</v>
      </c>
      <c r="O218" s="39">
        <f>O217</f>
        <v>268547858</v>
      </c>
      <c r="R218" s="58"/>
    </row>
    <row r="219" spans="1:20">
      <c r="A219" s="1" t="s">
        <v>31</v>
      </c>
      <c r="R219" s="39"/>
    </row>
    <row r="220" spans="1:20">
      <c r="A220" s="1"/>
      <c r="M220" s="39"/>
      <c r="N220" s="39"/>
      <c r="O220" s="39"/>
      <c r="Q220" s="36"/>
    </row>
    <row r="221" spans="1:20" ht="27" customHeight="1">
      <c r="A221" s="59"/>
      <c r="E221" s="39"/>
      <c r="F221" s="39"/>
      <c r="G221" s="39"/>
      <c r="H221" s="39"/>
      <c r="I221" s="39"/>
      <c r="J221" s="40"/>
      <c r="K221" s="40"/>
      <c r="L221" s="41" t="s">
        <v>19</v>
      </c>
      <c r="M221" s="41" t="s">
        <v>12</v>
      </c>
      <c r="N221" s="41" t="s">
        <v>13</v>
      </c>
      <c r="O221" s="41" t="s">
        <v>14</v>
      </c>
      <c r="Q221" s="36"/>
    </row>
    <row r="222" spans="1:20">
      <c r="E222" s="39"/>
      <c r="F222" s="39"/>
      <c r="G222" s="39"/>
      <c r="H222" s="39"/>
      <c r="I222" s="39"/>
      <c r="L222" s="47" t="s">
        <v>20</v>
      </c>
      <c r="M222" s="42">
        <f>SUM(M8:M10,M15:M17,M24:M26,M34:M36,M43:M45,M54:M56,M65:M67,M75:M77,M89:M91,M100:M102,M109:M111,M119:M121,M129:M131,M139:M141,M154:M156,M158:M161,M169:M171,M178:M180,M188:M190,M198:M200,M208:M210)</f>
        <v>298268400</v>
      </c>
      <c r="N222" s="42">
        <f>SUM(N8:N10,N15:N17,N24:N26,N34:N36,N43:N45,N54:N56,N65:N67,N75:N77,N89:N91,N100:N102,N109:N111,N119:N121,N129:N131,N139:N141,N154:N156,N158:N161,N169:N171,N178:N180,N188:N190,N198:N200,N208:N210)</f>
        <v>170290600</v>
      </c>
      <c r="O222" s="42">
        <f>SUM(O8:O10,O15:O17,O24:O26,O34:O36,O43:O45,O54:O56,O65:O67,O75:O77,O89:O91,O100:O102,O109:O111,O119:O121,O129:O131,O139:O141,O154:O156,O158:O161,O169:O171,O178:O180,O188:O190,O198:O200,O208:O210)</f>
        <v>122245000</v>
      </c>
      <c r="P222" s="43"/>
      <c r="Q222" s="102"/>
      <c r="R222" s="40"/>
    </row>
    <row r="223" spans="1:20">
      <c r="B223" s="39"/>
      <c r="C223" s="2" t="s">
        <v>18</v>
      </c>
      <c r="E223" s="39"/>
      <c r="F223" s="39"/>
      <c r="G223" s="39"/>
      <c r="H223" s="39"/>
      <c r="I223" s="39"/>
      <c r="L223" s="48" t="s">
        <v>21</v>
      </c>
      <c r="M223" s="49"/>
      <c r="N223" s="49"/>
      <c r="O223" s="49"/>
      <c r="S223" s="39"/>
    </row>
    <row r="224" spans="1:20">
      <c r="B224" s="39"/>
      <c r="E224" s="39"/>
      <c r="F224" s="39"/>
      <c r="G224" s="39"/>
      <c r="H224" s="39"/>
      <c r="I224" s="39"/>
      <c r="L224" s="47" t="s">
        <v>22</v>
      </c>
      <c r="M224" s="42">
        <f>M191</f>
        <v>12765145</v>
      </c>
      <c r="N224" s="42">
        <f>N191</f>
        <v>12676745</v>
      </c>
      <c r="O224" s="42">
        <f>O191</f>
        <v>12676745</v>
      </c>
    </row>
    <row r="225" spans="1:20">
      <c r="B225" s="39"/>
      <c r="E225" s="39"/>
      <c r="F225" s="39"/>
      <c r="G225" s="39"/>
      <c r="H225" s="39"/>
      <c r="I225" s="39"/>
      <c r="L225" s="48" t="s">
        <v>23</v>
      </c>
      <c r="M225" s="49">
        <f>SUM(M6:M7,M13:M14,M22:M23,M32:M33,M41:M42,M52:M53,M64,M73:M74,M88,M98:M99,M108,M117:M118,M128,M137:M138,M152:M153,M157,M167:M168,M177,M186:M187,M197,M206:M207,M215:M216)</f>
        <v>132318900</v>
      </c>
      <c r="N225" s="49">
        <f>SUM(N6:N7,N13:N14,N22:N23,N32:N33,N41:N42,N52:N53,N64,N73:N74,N88,N98:N99,N108,N117:N118,N128,N137:N138,N152:N153,N157,N167:N168,N177,N186:N187,N197,N206:N207,N215:N216)</f>
        <v>65992300</v>
      </c>
      <c r="O225" s="49">
        <f>SUM(O6:O7,O13:O14,O22:O23,O32:O33,O41:O42,O52:O53,O64,O73:O74,O88,O98:O99,O108,O117:O118,O128,O137:O138,O152:O153,O157,O167:O168,O177,O186:O187,O197,O206:O207,O215:O216)</f>
        <v>30520000</v>
      </c>
    </row>
    <row r="226" spans="1:20">
      <c r="B226" s="39"/>
      <c r="E226" s="39"/>
      <c r="F226" s="39"/>
      <c r="G226" s="39"/>
      <c r="H226" s="39"/>
      <c r="I226" s="39"/>
      <c r="L226" s="47" t="s">
        <v>24</v>
      </c>
      <c r="M226" s="42">
        <f>M12+M79+M81</f>
        <v>105577000</v>
      </c>
      <c r="N226" s="42">
        <f>N12+N79+N81</f>
        <v>39005000</v>
      </c>
      <c r="O226" s="42">
        <f>O12+O79+O81</f>
        <v>39005000</v>
      </c>
    </row>
    <row r="227" spans="1:20" ht="20.25">
      <c r="B227" s="39"/>
      <c r="E227" s="39"/>
      <c r="F227" s="39"/>
      <c r="G227" s="39"/>
      <c r="H227" s="39"/>
      <c r="I227" s="39"/>
      <c r="L227" s="48" t="s">
        <v>25</v>
      </c>
      <c r="M227" s="49">
        <f>M212</f>
        <v>7012308</v>
      </c>
      <c r="N227" s="49">
        <f>N212</f>
        <v>7012308</v>
      </c>
      <c r="O227" s="49">
        <f>O212</f>
        <v>7012308</v>
      </c>
      <c r="P227" s="154"/>
    </row>
    <row r="228" spans="1:20">
      <c r="E228" s="39"/>
      <c r="F228" s="39"/>
      <c r="G228" s="39"/>
      <c r="H228" s="39"/>
      <c r="I228" s="39"/>
      <c r="L228" s="47" t="s">
        <v>26</v>
      </c>
      <c r="M228" s="42">
        <f>M214</f>
        <v>9639000</v>
      </c>
      <c r="N228" s="42">
        <f>N214</f>
        <v>9639000</v>
      </c>
      <c r="O228" s="42">
        <f>O214</f>
        <v>9639000</v>
      </c>
      <c r="T228" s="2" t="s">
        <v>18</v>
      </c>
    </row>
    <row r="229" spans="1:20">
      <c r="A229" s="39"/>
      <c r="L229" s="48" t="s">
        <v>30</v>
      </c>
      <c r="M229" s="49">
        <f>M51</f>
        <v>13613805</v>
      </c>
      <c r="N229" s="49">
        <f>N51</f>
        <v>13613805</v>
      </c>
      <c r="O229" s="49">
        <f>O51</f>
        <v>13613805</v>
      </c>
    </row>
    <row r="230" spans="1:20">
      <c r="L230" s="47" t="s">
        <v>29</v>
      </c>
      <c r="M230" s="42">
        <f>SUM(M21)</f>
        <v>1676000</v>
      </c>
      <c r="N230" s="42">
        <f>SUM(N21)</f>
        <v>400000</v>
      </c>
      <c r="O230" s="42">
        <f>SUM(O21)</f>
        <v>400000</v>
      </c>
    </row>
    <row r="231" spans="1:20">
      <c r="L231" s="47" t="s">
        <v>36</v>
      </c>
      <c r="M231" s="42">
        <f>SUM(M18:M20,M28:M31,M37:M40,M47:M50,M60:M63,M69:M72,M82:M85,M93:M96,M103:M106,M113:M116,M122:M125,M133:M136,M143:M146,M148:M151,M163:M166,M173:M176,M182:M185,M193:M196,M202:M205)</f>
        <v>41396500</v>
      </c>
      <c r="N231" s="42">
        <f>SUM(N18:N20,N28:N31,N37:N40,N47:N50,N60:N63,N69:N72,N82:N85,N93:N96,N103:N106,N113:N116,N122:N125,N133:N136,N143:N146,N148:N151,N163:N166,N173:N176,N182:N185,N193:N196,N202:N205)</f>
        <v>7367000</v>
      </c>
      <c r="O231" s="42">
        <f>SUM(O18:O20,O28:O31,O37:O40,O47:O50,O60:O63,O69:O72,O82:O85,O93:O96,O103:O106,O113:O116,O122:O125,O133:O136,O143:O146,O148:O151,O163:O166,O173:O176,O182:O185,O193:O196,O202:O205)</f>
        <v>16714000</v>
      </c>
    </row>
    <row r="232" spans="1:20">
      <c r="L232" s="47" t="s">
        <v>33</v>
      </c>
      <c r="M232" s="42">
        <f>SUM(M27,M46,M68,M92,M97,M112,M132,M142,M147,M162,M172,M181,M192,M201)</f>
        <v>12812000</v>
      </c>
      <c r="N232" s="42">
        <f>SUM(N27,N46,N68,N92,N97,N112,N132,N142,N147,N162,N172,N181,N192,N201)</f>
        <v>1185000</v>
      </c>
      <c r="O232" s="42">
        <f>SUM(O27,O46,O68,O92,O97,O112,O132,O142,O147,O162,O172,O181,O192,O201)</f>
        <v>1380000</v>
      </c>
    </row>
    <row r="233" spans="1:20">
      <c r="L233" s="51" t="s">
        <v>17</v>
      </c>
      <c r="M233" s="52">
        <f>SUM(M222:M232)</f>
        <v>635079058</v>
      </c>
      <c r="N233" s="52">
        <f>SUM(N222:N232)</f>
        <v>327181758</v>
      </c>
      <c r="O233" s="52">
        <f>SUM(O222:O232)</f>
        <v>253205858</v>
      </c>
    </row>
    <row r="234" spans="1:20">
      <c r="L234" s="48" t="s">
        <v>27</v>
      </c>
      <c r="M234" s="49">
        <f>SUM(M57:M59,M86:M87,M107,M126:M127)</f>
        <v>15342000</v>
      </c>
      <c r="N234" s="49">
        <f>SUM(N57:N59,N86:N87,N107,N126:N127)</f>
        <v>15342000</v>
      </c>
      <c r="O234" s="49">
        <f>SUM(O57:O59,O86:O87,O107,O126:O127)</f>
        <v>15342000</v>
      </c>
    </row>
    <row r="235" spans="1:20">
      <c r="L235" s="44" t="s">
        <v>28</v>
      </c>
      <c r="M235" s="45">
        <f>M233+M234</f>
        <v>650421058</v>
      </c>
      <c r="N235" s="45">
        <f>N233+N234</f>
        <v>342523758</v>
      </c>
      <c r="O235" s="45">
        <f>O233+O234</f>
        <v>268547858</v>
      </c>
    </row>
    <row r="236" spans="1:20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>
      <c r="M238" s="39"/>
      <c r="N238" s="39"/>
      <c r="O238" s="39"/>
    </row>
    <row r="239" spans="1:20">
      <c r="O239" s="39"/>
    </row>
    <row r="240" spans="1:20">
      <c r="O240" s="86"/>
    </row>
    <row r="241" spans="12:16">
      <c r="M241" s="39"/>
      <c r="N241" s="39"/>
      <c r="O241" s="86"/>
    </row>
    <row r="242" spans="12:16">
      <c r="O242" s="86"/>
    </row>
    <row r="247" spans="12:16">
      <c r="N247" s="116" t="s">
        <v>76</v>
      </c>
      <c r="O247" s="116"/>
      <c r="P247" s="117">
        <v>270419408</v>
      </c>
    </row>
    <row r="248" spans="12:16">
      <c r="N248" s="116" t="s">
        <v>77</v>
      </c>
      <c r="O248" s="116"/>
      <c r="P248" s="118">
        <f>P247-O217</f>
        <v>1871550</v>
      </c>
    </row>
    <row r="249" spans="12:16">
      <c r="L249" s="2">
        <f>223+48</f>
        <v>271</v>
      </c>
      <c r="N249" s="116" t="s">
        <v>72</v>
      </c>
      <c r="O249" s="116"/>
      <c r="P249" s="119">
        <f>O217/P247</f>
        <v>0.99307908402787426</v>
      </c>
    </row>
    <row r="250" spans="12:16">
      <c r="N250" s="285" t="s">
        <v>73</v>
      </c>
      <c r="O250" s="286"/>
      <c r="P250" s="120">
        <f>100%-P249</f>
        <v>6.9209159721257407E-3</v>
      </c>
    </row>
    <row r="259" spans="15:15">
      <c r="O259" s="29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556"/>
  <sheetViews>
    <sheetView showGridLines="0" tabSelected="1" zoomScale="106" zoomScaleNormal="106" zoomScaleSheetLayoutView="115" workbookViewId="0">
      <pane xSplit="4" ySplit="3" topLeftCell="E519" activePane="bottomRight" state="frozen"/>
      <selection pane="topRight" activeCell="D1" sqref="D1"/>
      <selection pane="bottomLeft" activeCell="A4" sqref="A4"/>
      <selection pane="bottomRight" activeCell="F529" sqref="F529"/>
    </sheetView>
  </sheetViews>
  <sheetFormatPr defaultColWidth="9.28515625" defaultRowHeight="11.25" outlineLevelRow="1"/>
  <cols>
    <col min="1" max="1" width="9.28515625" style="170" customWidth="1"/>
    <col min="2" max="2" width="12.28515625" style="170" customWidth="1"/>
    <col min="3" max="3" width="16.28515625" style="170" bestFit="1" customWidth="1"/>
    <col min="4" max="4" width="13.42578125" style="2" bestFit="1" customWidth="1"/>
    <col min="5" max="5" width="13.28515625" style="170" bestFit="1" customWidth="1"/>
    <col min="6" max="6" width="12" style="172" customWidth="1"/>
    <col min="7" max="8" width="10.7109375" style="170" customWidth="1"/>
    <col min="9" max="9" width="12.28515625" style="170" customWidth="1"/>
    <col min="10" max="10" width="11.28515625" style="170" bestFit="1" customWidth="1"/>
    <col min="11" max="11" width="16.7109375" style="170" bestFit="1" customWidth="1"/>
    <col min="12" max="12" width="15.7109375" style="170" bestFit="1" customWidth="1"/>
    <col min="13" max="13" width="8" style="170" bestFit="1" customWidth="1"/>
    <col min="14" max="16384" width="9.28515625" style="2"/>
  </cols>
  <sheetData>
    <row r="1" spans="1:13" ht="24.75" customHeight="1">
      <c r="A1" s="191" t="s">
        <v>141</v>
      </c>
      <c r="B1" s="168"/>
      <c r="C1" s="168"/>
      <c r="D1" s="180"/>
    </row>
    <row r="2" spans="1:13">
      <c r="D2" s="180"/>
      <c r="L2" s="303" t="s">
        <v>129</v>
      </c>
      <c r="M2" s="303"/>
    </row>
    <row r="3" spans="1:13" ht="45">
      <c r="A3" s="175" t="s">
        <v>122</v>
      </c>
      <c r="B3" s="175" t="s">
        <v>134</v>
      </c>
      <c r="C3" s="175" t="s">
        <v>123</v>
      </c>
      <c r="D3" s="175" t="s">
        <v>124</v>
      </c>
      <c r="E3" s="175" t="s">
        <v>125</v>
      </c>
      <c r="F3" s="176" t="s">
        <v>126</v>
      </c>
      <c r="G3" s="175" t="s">
        <v>5</v>
      </c>
      <c r="H3" s="175" t="s">
        <v>7</v>
      </c>
      <c r="I3" s="177" t="s">
        <v>120</v>
      </c>
      <c r="J3" s="175" t="s">
        <v>10</v>
      </c>
      <c r="K3" s="175" t="s">
        <v>127</v>
      </c>
      <c r="L3" s="175" t="s">
        <v>135</v>
      </c>
      <c r="M3" s="175" t="s">
        <v>15</v>
      </c>
    </row>
    <row r="4" spans="1:13" s="71" customFormat="1" ht="12.75" customHeight="1" outlineLevel="1">
      <c r="A4" s="178">
        <v>44565</v>
      </c>
      <c r="B4" s="178">
        <v>44567</v>
      </c>
      <c r="C4" s="174" t="s">
        <v>136</v>
      </c>
      <c r="D4" s="192" t="s">
        <v>142</v>
      </c>
      <c r="E4" s="171">
        <v>44657</v>
      </c>
      <c r="F4" s="182" t="s">
        <v>128</v>
      </c>
      <c r="G4" s="182">
        <v>2.7E-2</v>
      </c>
      <c r="H4" s="182">
        <v>3.0499999999999999E-2</v>
      </c>
      <c r="I4" s="179">
        <v>2.7064000000000001E-2</v>
      </c>
      <c r="J4" s="179">
        <v>2.7099999999999999E-2</v>
      </c>
      <c r="K4" s="173">
        <v>12680000</v>
      </c>
      <c r="L4" s="184">
        <v>1000000</v>
      </c>
      <c r="M4" s="188">
        <f>IF(L4=0,0,K4/L4)</f>
        <v>12.68</v>
      </c>
    </row>
    <row r="5" spans="1:13" s="71" customFormat="1" ht="12.75" customHeight="1" outlineLevel="1">
      <c r="A5" s="178"/>
      <c r="B5" s="171"/>
      <c r="C5" s="174"/>
      <c r="D5" s="192" t="s">
        <v>143</v>
      </c>
      <c r="E5" s="171">
        <v>44931</v>
      </c>
      <c r="F5" s="182" t="s">
        <v>128</v>
      </c>
      <c r="G5" s="182">
        <v>2.9499999999999998E-2</v>
      </c>
      <c r="H5" s="182">
        <v>3.2000000000000001E-2</v>
      </c>
      <c r="I5" s="182">
        <v>2.9874999999999999E-2</v>
      </c>
      <c r="J5" s="179">
        <v>0.03</v>
      </c>
      <c r="K5" s="173">
        <v>12520000</v>
      </c>
      <c r="L5" s="184">
        <v>2000000</v>
      </c>
      <c r="M5" s="183">
        <f t="shared" ref="M5:M10" si="0">IF(L5=0,0,K5/L5)</f>
        <v>6.26</v>
      </c>
    </row>
    <row r="6" spans="1:13" s="71" customFormat="1" ht="12.75" customHeight="1" outlineLevel="1">
      <c r="A6" s="169"/>
      <c r="B6" s="169"/>
      <c r="C6" s="169"/>
      <c r="D6" s="192" t="s">
        <v>138</v>
      </c>
      <c r="E6" s="171">
        <v>46492</v>
      </c>
      <c r="F6" s="182">
        <v>5.1249999999999997E-2</v>
      </c>
      <c r="G6" s="182">
        <v>4.8899999999999999E-2</v>
      </c>
      <c r="H6" s="182">
        <v>5.1400000000000001E-2</v>
      </c>
      <c r="I6" s="179">
        <v>4.9365399999999997E-2</v>
      </c>
      <c r="J6" s="179">
        <v>0.05</v>
      </c>
      <c r="K6" s="173">
        <v>7368000</v>
      </c>
      <c r="L6" s="184">
        <v>3800000</v>
      </c>
      <c r="M6" s="183">
        <f t="shared" si="0"/>
        <v>1.9389473684210525</v>
      </c>
    </row>
    <row r="7" spans="1:13" s="71" customFormat="1" ht="12.75" customHeight="1" outlineLevel="1">
      <c r="A7" s="169"/>
      <c r="B7" s="169"/>
      <c r="C7" s="169"/>
      <c r="D7" s="192" t="s">
        <v>139</v>
      </c>
      <c r="E7" s="171">
        <v>48319</v>
      </c>
      <c r="F7" s="182">
        <v>6.3750000000000001E-2</v>
      </c>
      <c r="G7" s="182">
        <v>6.2199999999999998E-2</v>
      </c>
      <c r="H7" s="182">
        <v>6.4000000000000001E-2</v>
      </c>
      <c r="I7" s="179">
        <v>6.2632300000000002E-2</v>
      </c>
      <c r="J7" s="179">
        <v>6.3E-2</v>
      </c>
      <c r="K7" s="173">
        <v>11579300</v>
      </c>
      <c r="L7" s="189">
        <v>7500000</v>
      </c>
      <c r="M7" s="190">
        <f t="shared" si="0"/>
        <v>1.5439066666666668</v>
      </c>
    </row>
    <row r="8" spans="1:13" s="71" customFormat="1" ht="12.75" customHeight="1" outlineLevel="1">
      <c r="A8" s="169"/>
      <c r="B8" s="169"/>
      <c r="C8" s="169"/>
      <c r="D8" s="192" t="s">
        <v>144</v>
      </c>
      <c r="E8" s="171">
        <v>50236</v>
      </c>
      <c r="F8" s="182">
        <v>6.3750000000000001E-2</v>
      </c>
      <c r="G8" s="182">
        <v>6.3500000000000001E-2</v>
      </c>
      <c r="H8" s="182">
        <v>7.0000000000000007E-2</v>
      </c>
      <c r="I8" s="179">
        <v>6.4628000000000005E-2</v>
      </c>
      <c r="J8" s="179">
        <v>6.5000000000000002E-2</v>
      </c>
      <c r="K8" s="173">
        <v>26823200</v>
      </c>
      <c r="L8" s="189">
        <v>6300000</v>
      </c>
      <c r="M8" s="190">
        <f t="shared" si="0"/>
        <v>4.2576507936507939</v>
      </c>
    </row>
    <row r="9" spans="1:13" s="71" customFormat="1" ht="12.75" customHeight="1" outlineLevel="1">
      <c r="A9" s="169"/>
      <c r="B9" s="169"/>
      <c r="C9" s="169"/>
      <c r="D9" s="192" t="s">
        <v>140</v>
      </c>
      <c r="E9" s="171">
        <v>52032</v>
      </c>
      <c r="F9" s="182">
        <v>7.1249999999999994E-2</v>
      </c>
      <c r="G9" s="182">
        <v>6.8500000000000005E-2</v>
      </c>
      <c r="H9" s="182">
        <v>7.0699999999999999E-2</v>
      </c>
      <c r="I9" s="179">
        <v>6.85997E-2</v>
      </c>
      <c r="J9" s="179">
        <v>6.8699999999999997E-2</v>
      </c>
      <c r="K9" s="173">
        <v>4827500</v>
      </c>
      <c r="L9" s="189">
        <v>2850000</v>
      </c>
      <c r="M9" s="190">
        <f t="shared" si="0"/>
        <v>1.6938596491228071</v>
      </c>
    </row>
    <row r="10" spans="1:13" s="71" customFormat="1" ht="12.75" customHeight="1" outlineLevel="1">
      <c r="A10" s="169"/>
      <c r="B10" s="169"/>
      <c r="C10" s="169"/>
      <c r="D10" s="192" t="s">
        <v>137</v>
      </c>
      <c r="E10" s="171">
        <v>55380</v>
      </c>
      <c r="F10" s="182">
        <v>6.8750000000000006E-2</v>
      </c>
      <c r="G10" s="182">
        <v>6.7799999999999999E-2</v>
      </c>
      <c r="H10" s="182">
        <v>6.9599999999999995E-2</v>
      </c>
      <c r="I10" s="179">
        <v>6.8447999999999995E-2</v>
      </c>
      <c r="J10" s="179">
        <v>6.8500000000000005E-2</v>
      </c>
      <c r="K10" s="173">
        <v>1780900</v>
      </c>
      <c r="L10" s="189">
        <v>1550000</v>
      </c>
      <c r="M10" s="190">
        <f t="shared" si="0"/>
        <v>1.1489677419354838</v>
      </c>
    </row>
    <row r="11" spans="1:13" s="196" customFormat="1" ht="12.75" customHeight="1" outlineLevel="1">
      <c r="A11" s="291" t="s">
        <v>121</v>
      </c>
      <c r="B11" s="292"/>
      <c r="C11" s="292"/>
      <c r="D11" s="292"/>
      <c r="E11" s="292"/>
      <c r="F11" s="292"/>
      <c r="G11" s="292"/>
      <c r="H11" s="292"/>
      <c r="I11" s="292"/>
      <c r="J11" s="293"/>
      <c r="K11" s="194">
        <f>SUM(K4:K10)</f>
        <v>77578900</v>
      </c>
      <c r="L11" s="194">
        <f>SUM(L4:L10)</f>
        <v>25000000</v>
      </c>
      <c r="M11" s="195"/>
    </row>
    <row r="12" spans="1:13" s="71" customFormat="1" ht="12.75" customHeight="1" outlineLevel="1">
      <c r="A12" s="178">
        <v>44572</v>
      </c>
      <c r="B12" s="178">
        <v>44574</v>
      </c>
      <c r="C12" s="174" t="s">
        <v>136</v>
      </c>
      <c r="D12" s="192" t="s">
        <v>148</v>
      </c>
      <c r="E12" s="171">
        <v>44754</v>
      </c>
      <c r="F12" s="182" t="s">
        <v>128</v>
      </c>
      <c r="G12" s="182">
        <v>2.64E-2</v>
      </c>
      <c r="H12" s="182">
        <v>2.9499999999999998E-2</v>
      </c>
      <c r="I12" s="182">
        <v>2.6544000000000002E-2</v>
      </c>
      <c r="J12" s="182">
        <v>2.6800000000000001E-2</v>
      </c>
      <c r="K12" s="197">
        <v>21360000</v>
      </c>
      <c r="L12" s="197">
        <v>1000000</v>
      </c>
      <c r="M12" s="190">
        <f t="shared" ref="M12:M17" si="1">IF(L12=0,0,K12/L12)</f>
        <v>21.36</v>
      </c>
    </row>
    <row r="13" spans="1:13" s="71" customFormat="1" ht="12.75" customHeight="1" outlineLevel="1">
      <c r="A13" s="178"/>
      <c r="B13" s="171"/>
      <c r="C13" s="174"/>
      <c r="D13" s="192" t="s">
        <v>145</v>
      </c>
      <c r="E13" s="171">
        <v>45488</v>
      </c>
      <c r="F13" s="182">
        <v>0.04</v>
      </c>
      <c r="G13" s="182">
        <v>0.04</v>
      </c>
      <c r="H13" s="182">
        <v>4.2500000000000003E-2</v>
      </c>
      <c r="I13" s="182">
        <v>4.0245799999999998E-2</v>
      </c>
      <c r="J13" s="182">
        <v>4.0399999999999998E-2</v>
      </c>
      <c r="K13" s="198">
        <v>15020000</v>
      </c>
      <c r="L13" s="198">
        <v>4300000</v>
      </c>
      <c r="M13" s="190">
        <f t="shared" si="1"/>
        <v>3.4930232558139536</v>
      </c>
    </row>
    <row r="14" spans="1:13" s="71" customFormat="1" ht="12.75" customHeight="1" outlineLevel="1">
      <c r="A14" s="169"/>
      <c r="B14" s="169"/>
      <c r="C14" s="169"/>
      <c r="D14" s="192" t="s">
        <v>146</v>
      </c>
      <c r="E14" s="171">
        <v>46218</v>
      </c>
      <c r="F14" s="182">
        <v>4.8750000000000002E-2</v>
      </c>
      <c r="G14" s="182">
        <v>4.8300000000000003E-2</v>
      </c>
      <c r="H14" s="182">
        <v>5.2900000000000003E-2</v>
      </c>
      <c r="I14" s="182">
        <v>4.8696900000000001E-2</v>
      </c>
      <c r="J14" s="182">
        <v>4.9099999999999998E-2</v>
      </c>
      <c r="K14" s="198">
        <v>7209000</v>
      </c>
      <c r="L14" s="198">
        <v>4400000</v>
      </c>
      <c r="M14" s="190">
        <f t="shared" si="1"/>
        <v>1.6384090909090909</v>
      </c>
    </row>
    <row r="15" spans="1:13" s="71" customFormat="1" ht="12.75" customHeight="1" outlineLevel="1">
      <c r="A15" s="169"/>
      <c r="B15" s="169"/>
      <c r="C15" s="169"/>
      <c r="D15" s="192" t="s">
        <v>147</v>
      </c>
      <c r="E15" s="171">
        <v>49018</v>
      </c>
      <c r="F15" s="182">
        <v>6.3750000000000001E-2</v>
      </c>
      <c r="G15" s="182">
        <v>6.2700000000000006E-2</v>
      </c>
      <c r="H15" s="182">
        <v>6.59E-2</v>
      </c>
      <c r="I15" s="182">
        <v>6.3647099999999998E-2</v>
      </c>
      <c r="J15" s="182">
        <v>6.3799999999999996E-2</v>
      </c>
      <c r="K15" s="198">
        <v>3452000</v>
      </c>
      <c r="L15" s="198">
        <v>600000</v>
      </c>
      <c r="M15" s="190">
        <f t="shared" si="1"/>
        <v>5.753333333333333</v>
      </c>
    </row>
    <row r="16" spans="1:13" s="71" customFormat="1" ht="12.75" customHeight="1" outlineLevel="1">
      <c r="A16" s="169"/>
      <c r="B16" s="169"/>
      <c r="C16" s="169"/>
      <c r="D16" s="192" t="s">
        <v>149</v>
      </c>
      <c r="E16" s="171">
        <v>50936</v>
      </c>
      <c r="F16" s="182">
        <v>6.5000000000000002E-2</v>
      </c>
      <c r="G16" s="182">
        <v>6.5500000000000003E-2</v>
      </c>
      <c r="H16" s="182">
        <v>7.1499999999999994E-2</v>
      </c>
      <c r="I16" s="182">
        <v>6.5559199999999998E-2</v>
      </c>
      <c r="J16" s="182">
        <v>6.5600000000000006E-2</v>
      </c>
      <c r="K16" s="198">
        <v>6013200</v>
      </c>
      <c r="L16" s="198">
        <v>350000</v>
      </c>
      <c r="M16" s="190">
        <f t="shared" si="1"/>
        <v>17.180571428571429</v>
      </c>
    </row>
    <row r="17" spans="1:13" s="71" customFormat="1" ht="12.75" customHeight="1" outlineLevel="1">
      <c r="A17" s="169"/>
      <c r="B17" s="169"/>
      <c r="C17" s="169"/>
      <c r="D17" s="192" t="s">
        <v>150</v>
      </c>
      <c r="E17" s="171">
        <v>53858</v>
      </c>
      <c r="F17" s="182">
        <v>6.7500000000000004E-2</v>
      </c>
      <c r="G17" s="182">
        <v>6.8500000000000005E-2</v>
      </c>
      <c r="H17" s="182">
        <v>7.2700000000000001E-2</v>
      </c>
      <c r="I17" s="182">
        <v>6.8559200000000001E-2</v>
      </c>
      <c r="J17" s="182">
        <v>6.8599999999999994E-2</v>
      </c>
      <c r="K17" s="198">
        <v>2294600</v>
      </c>
      <c r="L17" s="198">
        <v>350000</v>
      </c>
      <c r="M17" s="190">
        <f t="shared" si="1"/>
        <v>6.556</v>
      </c>
    </row>
    <row r="18" spans="1:13" s="196" customFormat="1" ht="12.75" customHeight="1" outlineLevel="1">
      <c r="A18" s="297" t="s">
        <v>121</v>
      </c>
      <c r="B18" s="298"/>
      <c r="C18" s="298"/>
      <c r="D18" s="298"/>
      <c r="E18" s="298"/>
      <c r="F18" s="298"/>
      <c r="G18" s="298"/>
      <c r="H18" s="298"/>
      <c r="I18" s="298"/>
      <c r="J18" s="299"/>
      <c r="K18" s="199">
        <f>SUM(K12:K17)</f>
        <v>55348800</v>
      </c>
      <c r="L18" s="199">
        <f>SUM(L12:L17)</f>
        <v>11000000</v>
      </c>
      <c r="M18" s="195"/>
    </row>
    <row r="19" spans="1:13" s="71" customFormat="1" ht="12.75" customHeight="1" outlineLevel="1">
      <c r="A19" s="178">
        <v>44579</v>
      </c>
      <c r="B19" s="178">
        <v>44581</v>
      </c>
      <c r="C19" s="174" t="s">
        <v>136</v>
      </c>
      <c r="D19" s="192" t="s">
        <v>151</v>
      </c>
      <c r="E19" s="171">
        <v>44671</v>
      </c>
      <c r="F19" s="182" t="s">
        <v>128</v>
      </c>
      <c r="G19" s="182">
        <v>2.5999999999999999E-2</v>
      </c>
      <c r="H19" s="182">
        <v>2.9000000000000001E-2</v>
      </c>
      <c r="I19" s="179">
        <v>2.6171E-2</v>
      </c>
      <c r="J19" s="179">
        <v>2.63E-2</v>
      </c>
      <c r="K19" s="173">
        <v>16455000</v>
      </c>
      <c r="L19" s="184">
        <v>1000000</v>
      </c>
      <c r="M19" s="188">
        <f>IF(L19=0,0,K19/L19)</f>
        <v>16.454999999999998</v>
      </c>
    </row>
    <row r="20" spans="1:13" s="71" customFormat="1" ht="12.75" customHeight="1" outlineLevel="1">
      <c r="A20" s="178"/>
      <c r="B20" s="171"/>
      <c r="C20" s="174"/>
      <c r="D20" s="192" t="s">
        <v>143</v>
      </c>
      <c r="E20" s="171">
        <v>44931</v>
      </c>
      <c r="F20" s="182" t="s">
        <v>128</v>
      </c>
      <c r="G20" s="182">
        <v>2.8500000000000001E-2</v>
      </c>
      <c r="H20" s="182">
        <v>3.1E-2</v>
      </c>
      <c r="I20" s="182">
        <v>2.9215000000000001E-2</v>
      </c>
      <c r="J20" s="179">
        <v>2.9399999999999999E-2</v>
      </c>
      <c r="K20" s="173">
        <v>16410000</v>
      </c>
      <c r="L20" s="184">
        <v>2000000</v>
      </c>
      <c r="M20" s="183">
        <f t="shared" ref="M20:M25" si="2">IF(L20=0,0,K20/L20)</f>
        <v>8.2050000000000001</v>
      </c>
    </row>
    <row r="21" spans="1:13" s="71" customFormat="1" ht="12.75" customHeight="1" outlineLevel="1">
      <c r="A21" s="169"/>
      <c r="B21" s="169"/>
      <c r="C21" s="169"/>
      <c r="D21" s="192" t="s">
        <v>138</v>
      </c>
      <c r="E21" s="171">
        <v>46492</v>
      </c>
      <c r="F21" s="182">
        <v>5.1249999999999997E-2</v>
      </c>
      <c r="G21" s="182">
        <v>5.0500000000000003E-2</v>
      </c>
      <c r="H21" s="182">
        <v>5.3499999999999999E-2</v>
      </c>
      <c r="I21" s="179">
        <v>5.1599699999999998E-2</v>
      </c>
      <c r="J21" s="179">
        <v>5.1799999999999999E-2</v>
      </c>
      <c r="K21" s="173">
        <v>14939500</v>
      </c>
      <c r="L21" s="184">
        <v>3800000</v>
      </c>
      <c r="M21" s="183">
        <f t="shared" si="2"/>
        <v>3.9314473684210527</v>
      </c>
    </row>
    <row r="22" spans="1:13" s="71" customFormat="1" ht="12.75" customHeight="1" outlineLevel="1">
      <c r="A22" s="169"/>
      <c r="B22" s="169"/>
      <c r="C22" s="169"/>
      <c r="D22" s="192" t="s">
        <v>139</v>
      </c>
      <c r="E22" s="171">
        <v>48319</v>
      </c>
      <c r="F22" s="182">
        <v>6.3750000000000001E-2</v>
      </c>
      <c r="G22" s="182">
        <v>6.3399999999999998E-2</v>
      </c>
      <c r="H22" s="182">
        <v>6.5500000000000003E-2</v>
      </c>
      <c r="I22" s="179">
        <v>6.3798900000000006E-2</v>
      </c>
      <c r="J22" s="179">
        <v>6.4000000000000001E-2</v>
      </c>
      <c r="K22" s="173">
        <v>14669700</v>
      </c>
      <c r="L22" s="189">
        <v>6050000</v>
      </c>
      <c r="M22" s="190">
        <f t="shared" si="2"/>
        <v>2.4247438016528924</v>
      </c>
    </row>
    <row r="23" spans="1:13" s="71" customFormat="1" ht="12.75" customHeight="1" outlineLevel="1">
      <c r="A23" s="169"/>
      <c r="B23" s="169"/>
      <c r="C23" s="169"/>
      <c r="D23" s="192" t="s">
        <v>144</v>
      </c>
      <c r="E23" s="171">
        <v>50236</v>
      </c>
      <c r="F23" s="182">
        <v>6.3750000000000001E-2</v>
      </c>
      <c r="G23" s="182">
        <v>6.3600000000000004E-2</v>
      </c>
      <c r="H23" s="182">
        <v>6.5500000000000003E-2</v>
      </c>
      <c r="I23" s="179">
        <v>6.3998399999999997E-2</v>
      </c>
      <c r="J23" s="179">
        <v>6.4199999999999993E-2</v>
      </c>
      <c r="K23" s="173">
        <v>6394100</v>
      </c>
      <c r="L23" s="189">
        <v>2800000</v>
      </c>
      <c r="M23" s="190">
        <f t="shared" si="2"/>
        <v>2.2836071428571429</v>
      </c>
    </row>
    <row r="24" spans="1:13" s="71" customFormat="1" ht="12.75" customHeight="1" outlineLevel="1">
      <c r="A24" s="169"/>
      <c r="B24" s="169"/>
      <c r="C24" s="169"/>
      <c r="D24" s="192" t="s">
        <v>140</v>
      </c>
      <c r="E24" s="171">
        <v>52032</v>
      </c>
      <c r="F24" s="182">
        <v>7.1249999999999994E-2</v>
      </c>
      <c r="G24" s="182">
        <v>6.9000000000000006E-2</v>
      </c>
      <c r="H24" s="182">
        <v>7.1599999999999997E-2</v>
      </c>
      <c r="I24" s="179">
        <v>6.9382100000000002E-2</v>
      </c>
      <c r="J24" s="179">
        <v>7.0199999999999999E-2</v>
      </c>
      <c r="K24" s="173">
        <v>15185300</v>
      </c>
      <c r="L24" s="189">
        <v>8750000</v>
      </c>
      <c r="M24" s="190">
        <f t="shared" si="2"/>
        <v>1.7354628571428572</v>
      </c>
    </row>
    <row r="25" spans="1:13" s="71" customFormat="1" ht="12.75" customHeight="1" outlineLevel="1">
      <c r="A25" s="169"/>
      <c r="B25" s="169"/>
      <c r="C25" s="169"/>
      <c r="D25" s="192" t="s">
        <v>137</v>
      </c>
      <c r="E25" s="171">
        <v>55380</v>
      </c>
      <c r="F25" s="182">
        <v>6.8750000000000006E-2</v>
      </c>
      <c r="G25" s="182">
        <v>6.8199999999999997E-2</v>
      </c>
      <c r="H25" s="182">
        <v>6.9400000000000003E-2</v>
      </c>
      <c r="I25" s="179">
        <v>6.8799200000000005E-2</v>
      </c>
      <c r="J25" s="179">
        <v>6.9000000000000006E-2</v>
      </c>
      <c r="K25" s="173">
        <v>789500</v>
      </c>
      <c r="L25" s="189">
        <v>600000</v>
      </c>
      <c r="M25" s="190">
        <f t="shared" si="2"/>
        <v>1.3158333333333334</v>
      </c>
    </row>
    <row r="26" spans="1:13" s="196" customFormat="1" ht="12.75" customHeight="1" outlineLevel="1">
      <c r="A26" s="291" t="s">
        <v>121</v>
      </c>
      <c r="B26" s="292"/>
      <c r="C26" s="292"/>
      <c r="D26" s="292"/>
      <c r="E26" s="292"/>
      <c r="F26" s="292"/>
      <c r="G26" s="292"/>
      <c r="H26" s="292"/>
      <c r="I26" s="292"/>
      <c r="J26" s="293"/>
      <c r="K26" s="194">
        <f>SUM(K19:K25)</f>
        <v>84843100</v>
      </c>
      <c r="L26" s="194">
        <f>SUM(L19:L25)</f>
        <v>25000000</v>
      </c>
      <c r="M26" s="195"/>
    </row>
    <row r="27" spans="1:13" s="71" customFormat="1" ht="12.75" customHeight="1" outlineLevel="1">
      <c r="A27" s="178">
        <v>44586</v>
      </c>
      <c r="B27" s="178">
        <v>44588</v>
      </c>
      <c r="C27" s="174" t="s">
        <v>136</v>
      </c>
      <c r="D27" s="192" t="s">
        <v>148</v>
      </c>
      <c r="E27" s="171">
        <v>44754</v>
      </c>
      <c r="F27" s="182" t="s">
        <v>128</v>
      </c>
      <c r="G27" s="182">
        <v>2.5600000000000001E-2</v>
      </c>
      <c r="H27" s="182">
        <v>3.2500000000000001E-2</v>
      </c>
      <c r="I27" s="182">
        <v>2.5700000000000001E-2</v>
      </c>
      <c r="J27" s="182">
        <v>2.58E-2</v>
      </c>
      <c r="K27" s="197">
        <v>12830000</v>
      </c>
      <c r="L27" s="197">
        <v>1000000</v>
      </c>
      <c r="M27" s="190">
        <f t="shared" ref="M27:M32" si="3">IF(L27=0,0,K27/L27)</f>
        <v>12.83</v>
      </c>
    </row>
    <row r="28" spans="1:13" s="71" customFormat="1" ht="12.75" customHeight="1" outlineLevel="1">
      <c r="A28" s="178"/>
      <c r="B28" s="171"/>
      <c r="C28" s="174"/>
      <c r="D28" s="192" t="s">
        <v>145</v>
      </c>
      <c r="E28" s="171">
        <v>45488</v>
      </c>
      <c r="F28" s="182">
        <v>0.04</v>
      </c>
      <c r="G28" s="182">
        <v>3.9399999999999998E-2</v>
      </c>
      <c r="H28" s="182">
        <v>4.3999999999999997E-2</v>
      </c>
      <c r="I28" s="182">
        <v>9.6893300000000002E-2</v>
      </c>
      <c r="J28" s="182">
        <v>0.04</v>
      </c>
      <c r="K28" s="198">
        <v>4273500</v>
      </c>
      <c r="L28" s="198">
        <v>1000000</v>
      </c>
      <c r="M28" s="190">
        <f t="shared" si="3"/>
        <v>4.2735000000000003</v>
      </c>
    </row>
    <row r="29" spans="1:13" s="71" customFormat="1" ht="12.75" customHeight="1" outlineLevel="1">
      <c r="A29" s="169"/>
      <c r="B29" s="169"/>
      <c r="C29" s="169"/>
      <c r="D29" s="192" t="s">
        <v>146</v>
      </c>
      <c r="E29" s="171">
        <v>46218</v>
      </c>
      <c r="F29" s="182">
        <v>4.8750000000000002E-2</v>
      </c>
      <c r="G29" s="182">
        <v>4.82E-2</v>
      </c>
      <c r="H29" s="182">
        <v>4.9599999999999998E-2</v>
      </c>
      <c r="I29" s="182">
        <v>4.8571499999999997E-2</v>
      </c>
      <c r="J29" s="182">
        <v>4.9000000000000002E-2</v>
      </c>
      <c r="K29" s="198">
        <v>5490500</v>
      </c>
      <c r="L29" s="198">
        <v>4200000</v>
      </c>
      <c r="M29" s="190">
        <f t="shared" si="3"/>
        <v>1.3072619047619047</v>
      </c>
    </row>
    <row r="30" spans="1:13" s="71" customFormat="1" ht="12.75" customHeight="1" outlineLevel="1">
      <c r="A30" s="169"/>
      <c r="B30" s="169"/>
      <c r="C30" s="169"/>
      <c r="D30" s="71" t="s">
        <v>156</v>
      </c>
      <c r="E30" s="171">
        <v>46949</v>
      </c>
      <c r="F30" s="182">
        <v>5.8749999999999997E-2</v>
      </c>
      <c r="G30" s="182">
        <v>5.74E-2</v>
      </c>
      <c r="H30" s="182">
        <v>5.9700000000000003E-2</v>
      </c>
      <c r="I30" s="182">
        <v>5.7700399999999999E-2</v>
      </c>
      <c r="J30" s="182">
        <v>5.8200000000000002E-2</v>
      </c>
      <c r="K30" s="198">
        <v>7587000</v>
      </c>
      <c r="L30" s="198">
        <v>3600000</v>
      </c>
      <c r="M30" s="190">
        <f t="shared" si="3"/>
        <v>2.1074999999999999</v>
      </c>
    </row>
    <row r="31" spans="1:13" s="71" customFormat="1" ht="12.75" customHeight="1" outlineLevel="1">
      <c r="A31" s="169"/>
      <c r="B31" s="169"/>
      <c r="C31" s="169"/>
      <c r="D31" s="192" t="s">
        <v>147</v>
      </c>
      <c r="E31" s="171">
        <v>49018</v>
      </c>
      <c r="F31" s="182">
        <v>6.3750000000000001E-2</v>
      </c>
      <c r="G31" s="182">
        <v>6.3299999999999995E-2</v>
      </c>
      <c r="H31" s="182">
        <v>6.7100000000000007E-2</v>
      </c>
      <c r="I31" s="182">
        <v>6.3579499999999997E-2</v>
      </c>
      <c r="J31" s="182">
        <v>6.4000000000000001E-2</v>
      </c>
      <c r="K31" s="198">
        <v>5977000</v>
      </c>
      <c r="L31" s="198">
        <v>800000</v>
      </c>
      <c r="M31" s="190">
        <f t="shared" si="3"/>
        <v>7.4712500000000004</v>
      </c>
    </row>
    <row r="32" spans="1:13" s="71" customFormat="1" ht="12.75" customHeight="1" outlineLevel="1">
      <c r="A32" s="169"/>
      <c r="B32" s="169"/>
      <c r="C32" s="169"/>
      <c r="D32" s="192" t="s">
        <v>150</v>
      </c>
      <c r="E32" s="171">
        <v>53858</v>
      </c>
      <c r="F32" s="182">
        <v>6.7500000000000004E-2</v>
      </c>
      <c r="G32" s="182">
        <v>6.7500000000000004E-2</v>
      </c>
      <c r="H32" s="182">
        <v>6.9000000000000006E-2</v>
      </c>
      <c r="I32" s="182">
        <v>6.7690700000000006E-2</v>
      </c>
      <c r="J32" s="182">
        <v>6.7799999999999999E-2</v>
      </c>
      <c r="K32" s="198">
        <v>2135300</v>
      </c>
      <c r="L32" s="198">
        <v>400000</v>
      </c>
      <c r="M32" s="190">
        <f t="shared" si="3"/>
        <v>5.3382500000000004</v>
      </c>
    </row>
    <row r="33" spans="1:13" s="196" customFormat="1" ht="12.75" customHeight="1" outlineLevel="1">
      <c r="A33" s="297" t="s">
        <v>121</v>
      </c>
      <c r="B33" s="298"/>
      <c r="C33" s="298"/>
      <c r="D33" s="298"/>
      <c r="E33" s="298"/>
      <c r="F33" s="298"/>
      <c r="G33" s="298"/>
      <c r="H33" s="298"/>
      <c r="I33" s="298"/>
      <c r="J33" s="299"/>
      <c r="K33" s="199">
        <f>SUM(K27:K32)</f>
        <v>38293300</v>
      </c>
      <c r="L33" s="199">
        <f>SUM(L27:L32)</f>
        <v>11000000</v>
      </c>
      <c r="M33" s="195"/>
    </row>
    <row r="34" spans="1:13" s="180" customFormat="1" ht="12.75" customHeight="1">
      <c r="A34" s="294" t="s">
        <v>152</v>
      </c>
      <c r="B34" s="295"/>
      <c r="C34" s="295"/>
      <c r="D34" s="295"/>
      <c r="E34" s="295"/>
      <c r="F34" s="295"/>
      <c r="G34" s="295"/>
      <c r="H34" s="295"/>
      <c r="I34" s="295"/>
      <c r="J34" s="296"/>
      <c r="K34" s="193">
        <f>SUM(K11,K18,K26,K33)</f>
        <v>256064100</v>
      </c>
      <c r="L34" s="193">
        <f>SUM(L11,L18,L26,L33)</f>
        <v>72000000</v>
      </c>
      <c r="M34" s="181"/>
    </row>
    <row r="35" spans="1:13" s="180" customFormat="1" ht="12.75" customHeight="1">
      <c r="A35" s="294" t="s">
        <v>157</v>
      </c>
      <c r="B35" s="295"/>
      <c r="C35" s="295"/>
      <c r="D35" s="295"/>
      <c r="E35" s="295"/>
      <c r="F35" s="295"/>
      <c r="G35" s="295"/>
      <c r="H35" s="295"/>
      <c r="I35" s="295"/>
      <c r="J35" s="296"/>
      <c r="K35" s="193">
        <f>SUM(K34)</f>
        <v>256064100</v>
      </c>
      <c r="L35" s="193">
        <f>SUM(L34)</f>
        <v>72000000</v>
      </c>
      <c r="M35" s="181"/>
    </row>
    <row r="36" spans="1:13" s="71" customFormat="1" ht="12.75" customHeight="1" outlineLevel="1">
      <c r="A36" s="178">
        <v>44594</v>
      </c>
      <c r="B36" s="178">
        <v>44596</v>
      </c>
      <c r="C36" s="174" t="s">
        <v>136</v>
      </c>
      <c r="D36" s="192" t="s">
        <v>154</v>
      </c>
      <c r="E36" s="171">
        <v>44686</v>
      </c>
      <c r="F36" s="182" t="s">
        <v>128</v>
      </c>
      <c r="G36" s="182">
        <v>2.3800000000000002E-2</v>
      </c>
      <c r="H36" s="182">
        <v>2.75E-2</v>
      </c>
      <c r="I36" s="179">
        <v>2.384E-2</v>
      </c>
      <c r="J36" s="179">
        <v>2.3900000000000001E-2</v>
      </c>
      <c r="K36" s="173">
        <v>13340000</v>
      </c>
      <c r="L36" s="184">
        <v>1000000</v>
      </c>
      <c r="M36" s="188">
        <f>IF(L36=0,0,K36/L36)</f>
        <v>13.34</v>
      </c>
    </row>
    <row r="37" spans="1:13" s="71" customFormat="1" ht="12.75" customHeight="1" outlineLevel="1">
      <c r="A37" s="178"/>
      <c r="B37" s="171"/>
      <c r="C37" s="174"/>
      <c r="D37" s="192" t="s">
        <v>155</v>
      </c>
      <c r="E37" s="171">
        <v>44960</v>
      </c>
      <c r="F37" s="182" t="s">
        <v>128</v>
      </c>
      <c r="G37" s="182">
        <v>2.8299999999999999E-2</v>
      </c>
      <c r="H37" s="182">
        <v>3.1E-2</v>
      </c>
      <c r="I37" s="182">
        <v>2.8369999999999999E-2</v>
      </c>
      <c r="J37" s="179">
        <v>2.8400000000000002E-2</v>
      </c>
      <c r="K37" s="173">
        <v>14900000</v>
      </c>
      <c r="L37" s="184">
        <v>2000000</v>
      </c>
      <c r="M37" s="183">
        <f t="shared" ref="M37:M42" si="4">IF(L37=0,0,K37/L37)</f>
        <v>7.45</v>
      </c>
    </row>
    <row r="38" spans="1:13" s="71" customFormat="1" ht="12.75" customHeight="1" outlineLevel="1">
      <c r="A38" s="169"/>
      <c r="B38" s="169"/>
      <c r="C38" s="169"/>
      <c r="D38" s="192" t="s">
        <v>138</v>
      </c>
      <c r="E38" s="171">
        <v>46492</v>
      </c>
      <c r="F38" s="182">
        <v>5.1249999999999997E-2</v>
      </c>
      <c r="G38" s="182">
        <v>5.1499999999999997E-2</v>
      </c>
      <c r="H38" s="182">
        <v>5.2900000000000003E-2</v>
      </c>
      <c r="I38" s="179">
        <v>5.1998700000000002E-2</v>
      </c>
      <c r="J38" s="179">
        <v>5.2400000000000002E-2</v>
      </c>
      <c r="K38" s="173">
        <v>10450000</v>
      </c>
      <c r="L38" s="184">
        <v>7000000</v>
      </c>
      <c r="M38" s="183">
        <f t="shared" si="4"/>
        <v>1.4928571428571429</v>
      </c>
    </row>
    <row r="39" spans="1:13" s="71" customFormat="1" ht="12.75" customHeight="1" outlineLevel="1">
      <c r="A39" s="169"/>
      <c r="B39" s="169"/>
      <c r="C39" s="169"/>
      <c r="D39" s="192" t="s">
        <v>139</v>
      </c>
      <c r="E39" s="171">
        <v>48319</v>
      </c>
      <c r="F39" s="182">
        <v>6.3750000000000001E-2</v>
      </c>
      <c r="G39" s="182">
        <v>6.3799999999999996E-2</v>
      </c>
      <c r="H39" s="182">
        <v>6.5000000000000002E-2</v>
      </c>
      <c r="I39" s="179">
        <v>6.4098799999999997E-2</v>
      </c>
      <c r="J39" s="179">
        <v>6.4399999999999999E-2</v>
      </c>
      <c r="K39" s="173">
        <v>13825100</v>
      </c>
      <c r="L39" s="189">
        <v>6400000</v>
      </c>
      <c r="M39" s="190">
        <f t="shared" si="4"/>
        <v>2.1601718750000001</v>
      </c>
    </row>
    <row r="40" spans="1:13" s="71" customFormat="1" ht="12.75" customHeight="1" outlineLevel="1">
      <c r="A40" s="169"/>
      <c r="B40" s="169"/>
      <c r="C40" s="169"/>
      <c r="D40" s="192" t="s">
        <v>144</v>
      </c>
      <c r="E40" s="171">
        <v>50236</v>
      </c>
      <c r="F40" s="182">
        <v>6.3750000000000001E-2</v>
      </c>
      <c r="G40" s="182">
        <v>6.4000000000000001E-2</v>
      </c>
      <c r="H40" s="182">
        <v>6.5100000000000005E-2</v>
      </c>
      <c r="I40" s="179">
        <v>6.4386100000000002E-2</v>
      </c>
      <c r="J40" s="179">
        <v>6.4600000000000005E-2</v>
      </c>
      <c r="K40" s="173">
        <v>2899300</v>
      </c>
      <c r="L40" s="189">
        <v>550000</v>
      </c>
      <c r="M40" s="190">
        <f t="shared" si="4"/>
        <v>5.2714545454545458</v>
      </c>
    </row>
    <row r="41" spans="1:13" s="71" customFormat="1" ht="12.75" customHeight="1" outlineLevel="1">
      <c r="A41" s="169"/>
      <c r="B41" s="169"/>
      <c r="C41" s="169"/>
      <c r="D41" s="192" t="s">
        <v>140</v>
      </c>
      <c r="E41" s="171">
        <v>52032</v>
      </c>
      <c r="F41" s="182">
        <v>7.1249999999999994E-2</v>
      </c>
      <c r="G41" s="182">
        <v>6.8599999999999994E-2</v>
      </c>
      <c r="H41" s="182">
        <v>7.0800000000000002E-2</v>
      </c>
      <c r="I41" s="179">
        <v>6.8988099999999997E-2</v>
      </c>
      <c r="J41" s="179">
        <v>6.9000000000000006E-2</v>
      </c>
      <c r="K41" s="173">
        <v>15764900</v>
      </c>
      <c r="L41" s="189">
        <v>7400000</v>
      </c>
      <c r="M41" s="190">
        <f t="shared" si="4"/>
        <v>2.1303918918918918</v>
      </c>
    </row>
    <row r="42" spans="1:13" s="71" customFormat="1" ht="12.75" customHeight="1" outlineLevel="1">
      <c r="A42" s="169"/>
      <c r="B42" s="169"/>
      <c r="C42" s="169"/>
      <c r="D42" s="192" t="s">
        <v>137</v>
      </c>
      <c r="E42" s="171">
        <v>55380</v>
      </c>
      <c r="F42" s="182">
        <v>6.8750000000000006E-2</v>
      </c>
      <c r="G42" s="182">
        <v>6.8699999999999997E-2</v>
      </c>
      <c r="H42" s="182">
        <v>6.9500000000000006E-2</v>
      </c>
      <c r="I42" s="179">
        <v>6.89993E-2</v>
      </c>
      <c r="J42" s="179">
        <v>6.9099999999999995E-2</v>
      </c>
      <c r="K42" s="173">
        <v>891300</v>
      </c>
      <c r="L42" s="189">
        <v>650000</v>
      </c>
      <c r="M42" s="190">
        <f t="shared" si="4"/>
        <v>1.3712307692307693</v>
      </c>
    </row>
    <row r="43" spans="1:13" s="196" customFormat="1" ht="12.75" customHeight="1" outlineLevel="1">
      <c r="A43" s="291" t="s">
        <v>121</v>
      </c>
      <c r="B43" s="292"/>
      <c r="C43" s="292"/>
      <c r="D43" s="292"/>
      <c r="E43" s="292"/>
      <c r="F43" s="292"/>
      <c r="G43" s="292"/>
      <c r="H43" s="292"/>
      <c r="I43" s="292"/>
      <c r="J43" s="293"/>
      <c r="K43" s="194">
        <f>SUM(K36:K42)</f>
        <v>72070600</v>
      </c>
      <c r="L43" s="194">
        <f>SUM(L36:L42)</f>
        <v>25000000</v>
      </c>
      <c r="M43" s="195"/>
    </row>
    <row r="44" spans="1:13" s="71" customFormat="1" ht="12.75" customHeight="1" outlineLevel="1">
      <c r="A44" s="178">
        <v>44600</v>
      </c>
      <c r="B44" s="178">
        <v>44602</v>
      </c>
      <c r="C44" s="174" t="s">
        <v>136</v>
      </c>
      <c r="D44" s="192" t="s">
        <v>158</v>
      </c>
      <c r="E44" s="171">
        <v>44754</v>
      </c>
      <c r="F44" s="182" t="s">
        <v>128</v>
      </c>
      <c r="G44" s="182">
        <v>2.47E-2</v>
      </c>
      <c r="H44" s="182">
        <v>2.8199999999999999E-2</v>
      </c>
      <c r="I44" s="182">
        <v>2.48326E-2</v>
      </c>
      <c r="J44" s="182">
        <v>2.5000000000000001E-2</v>
      </c>
      <c r="K44" s="197">
        <v>14480000</v>
      </c>
      <c r="L44" s="197">
        <v>2150000</v>
      </c>
      <c r="M44" s="190">
        <f t="shared" ref="M44:M49" si="5">IF(L44=0,0,K44/L44)</f>
        <v>6.7348837209302328</v>
      </c>
    </row>
    <row r="45" spans="1:13" s="71" customFormat="1" ht="12.75" customHeight="1" outlineLevel="1">
      <c r="A45" s="178"/>
      <c r="B45" s="171"/>
      <c r="C45" s="174"/>
      <c r="D45" s="192" t="s">
        <v>145</v>
      </c>
      <c r="E45" s="171">
        <v>45488</v>
      </c>
      <c r="F45" s="182">
        <v>0.04</v>
      </c>
      <c r="G45" s="182">
        <v>3.9699999999999999E-2</v>
      </c>
      <c r="H45" s="182">
        <v>4.2599999999999999E-2</v>
      </c>
      <c r="I45" s="182">
        <v>4.01544E-2</v>
      </c>
      <c r="J45" s="182">
        <v>4.0399999999999998E-2</v>
      </c>
      <c r="K45" s="198">
        <v>3550000</v>
      </c>
      <c r="L45" s="198">
        <v>2650000</v>
      </c>
      <c r="M45" s="190">
        <f t="shared" si="5"/>
        <v>1.3396226415094339</v>
      </c>
    </row>
    <row r="46" spans="1:13" s="71" customFormat="1" ht="12.75" customHeight="1" outlineLevel="1">
      <c r="A46" s="169"/>
      <c r="B46" s="169"/>
      <c r="C46" s="169"/>
      <c r="D46" s="192" t="s">
        <v>146</v>
      </c>
      <c r="E46" s="171">
        <v>46218</v>
      </c>
      <c r="F46" s="182">
        <v>4.8750000000000002E-2</v>
      </c>
      <c r="G46" s="182">
        <v>4.8399999999999999E-2</v>
      </c>
      <c r="H46" s="182">
        <v>5.3999999999999999E-2</v>
      </c>
      <c r="I46" s="182">
        <v>4.9054E-2</v>
      </c>
      <c r="J46" s="182">
        <v>4.9599999999999998E-2</v>
      </c>
      <c r="K46" s="198">
        <v>4562000</v>
      </c>
      <c r="L46" s="198">
        <v>3750000</v>
      </c>
      <c r="M46" s="190">
        <f t="shared" si="5"/>
        <v>1.2165333333333332</v>
      </c>
    </row>
    <row r="47" spans="1:13" s="71" customFormat="1" ht="12.75" customHeight="1" outlineLevel="1">
      <c r="A47" s="169"/>
      <c r="B47" s="169"/>
      <c r="C47" s="169"/>
      <c r="D47" s="192" t="s">
        <v>147</v>
      </c>
      <c r="E47" s="171">
        <v>49018</v>
      </c>
      <c r="F47" s="182">
        <v>6.3750000000000001E-2</v>
      </c>
      <c r="G47" s="182">
        <v>6.3799999999999996E-2</v>
      </c>
      <c r="H47" s="182">
        <v>6.5799999999999997E-2</v>
      </c>
      <c r="I47" s="182">
        <v>6.4127100000000006E-2</v>
      </c>
      <c r="J47" s="182">
        <v>6.4299999999999996E-2</v>
      </c>
      <c r="K47" s="198">
        <v>3291800</v>
      </c>
      <c r="L47" s="198">
        <v>1000000</v>
      </c>
      <c r="M47" s="190">
        <f t="shared" si="5"/>
        <v>3.2917999999999998</v>
      </c>
    </row>
    <row r="48" spans="1:13" s="71" customFormat="1" ht="12.75" customHeight="1" outlineLevel="1">
      <c r="A48" s="169"/>
      <c r="B48" s="169"/>
      <c r="C48" s="169"/>
      <c r="D48" s="192" t="s">
        <v>149</v>
      </c>
      <c r="E48" s="171">
        <v>50936</v>
      </c>
      <c r="F48" s="182">
        <v>6.5000000000000002E-2</v>
      </c>
      <c r="G48" s="182">
        <v>6.5000000000000002E-2</v>
      </c>
      <c r="H48" s="182">
        <v>6.8699999999999997E-2</v>
      </c>
      <c r="I48" s="182">
        <v>6.5080399999999997E-2</v>
      </c>
      <c r="J48" s="182">
        <v>6.5299999999999997E-2</v>
      </c>
      <c r="K48" s="198">
        <v>1985000</v>
      </c>
      <c r="L48" s="198">
        <v>400000</v>
      </c>
      <c r="M48" s="190">
        <f t="shared" si="5"/>
        <v>4.9625000000000004</v>
      </c>
    </row>
    <row r="49" spans="1:13" s="71" customFormat="1" ht="12.75" customHeight="1" outlineLevel="1">
      <c r="A49" s="169"/>
      <c r="B49" s="169"/>
      <c r="C49" s="169"/>
      <c r="D49" s="192" t="s">
        <v>150</v>
      </c>
      <c r="E49" s="171">
        <v>53858</v>
      </c>
      <c r="F49" s="182">
        <v>6.7500000000000004E-2</v>
      </c>
      <c r="G49" s="182">
        <v>6.7500000000000004E-2</v>
      </c>
      <c r="H49" s="182">
        <v>6.93E-2</v>
      </c>
      <c r="I49" s="182">
        <v>6.7515500000000006E-2</v>
      </c>
      <c r="J49" s="182">
        <v>6.7599999999999993E-2</v>
      </c>
      <c r="K49" s="198">
        <v>1517000</v>
      </c>
      <c r="L49" s="198">
        <v>1050000</v>
      </c>
      <c r="M49" s="190">
        <f t="shared" si="5"/>
        <v>1.4447619047619047</v>
      </c>
    </row>
    <row r="50" spans="1:13" s="196" customFormat="1" ht="12.75" customHeight="1" outlineLevel="1">
      <c r="A50" s="297" t="s">
        <v>121</v>
      </c>
      <c r="B50" s="298"/>
      <c r="C50" s="298"/>
      <c r="D50" s="298"/>
      <c r="E50" s="298"/>
      <c r="F50" s="298"/>
      <c r="G50" s="298"/>
      <c r="H50" s="298"/>
      <c r="I50" s="298"/>
      <c r="J50" s="299"/>
      <c r="K50" s="199">
        <f>SUM(K44:K49)</f>
        <v>29385800</v>
      </c>
      <c r="L50" s="199">
        <f>SUM(L44:L49)</f>
        <v>11000000</v>
      </c>
      <c r="M50" s="195"/>
    </row>
    <row r="51" spans="1:13" s="71" customFormat="1" ht="12.75" customHeight="1" outlineLevel="1">
      <c r="A51" s="178">
        <v>44607</v>
      </c>
      <c r="B51" s="178">
        <v>44609</v>
      </c>
      <c r="C51" s="174" t="s">
        <v>136</v>
      </c>
      <c r="D51" s="192" t="s">
        <v>159</v>
      </c>
      <c r="E51" s="171">
        <v>44699</v>
      </c>
      <c r="F51" s="182" t="s">
        <v>128</v>
      </c>
      <c r="G51" s="182">
        <v>2.18E-2</v>
      </c>
      <c r="H51" s="182">
        <v>2.5999999999999999E-2</v>
      </c>
      <c r="I51" s="179">
        <v>2.18E-2</v>
      </c>
      <c r="J51" s="179">
        <v>2.18E-2</v>
      </c>
      <c r="K51" s="173">
        <v>15965000</v>
      </c>
      <c r="L51" s="184">
        <v>1000000</v>
      </c>
      <c r="M51" s="188">
        <f>IF(L51=0,0,K51/L51)</f>
        <v>15.965</v>
      </c>
    </row>
    <row r="52" spans="1:13" s="71" customFormat="1" ht="12.75" customHeight="1" outlineLevel="1">
      <c r="A52" s="178"/>
      <c r="B52" s="171"/>
      <c r="C52" s="174"/>
      <c r="D52" s="192" t="s">
        <v>155</v>
      </c>
      <c r="E52" s="171">
        <v>44960</v>
      </c>
      <c r="F52" s="182" t="s">
        <v>128</v>
      </c>
      <c r="G52" s="182">
        <v>2.75E-2</v>
      </c>
      <c r="H52" s="182">
        <v>2.9000000000000001E-2</v>
      </c>
      <c r="I52" s="182">
        <v>2.768E-2</v>
      </c>
      <c r="J52" s="179">
        <v>2.7900000000000001E-2</v>
      </c>
      <c r="K52" s="173">
        <v>25230000</v>
      </c>
      <c r="L52" s="184">
        <v>2000000</v>
      </c>
      <c r="M52" s="183">
        <f t="shared" ref="M52:M57" si="6">IF(L52=0,0,K52/L52)</f>
        <v>12.615</v>
      </c>
    </row>
    <row r="53" spans="1:13" s="71" customFormat="1" ht="12.75" customHeight="1" outlineLevel="1">
      <c r="A53" s="169"/>
      <c r="B53" s="169"/>
      <c r="C53" s="169"/>
      <c r="D53" s="192" t="s">
        <v>138</v>
      </c>
      <c r="E53" s="171">
        <v>46492</v>
      </c>
      <c r="F53" s="182">
        <v>5.1249999999999997E-2</v>
      </c>
      <c r="G53" s="182">
        <v>5.2499999999999998E-2</v>
      </c>
      <c r="H53" s="182">
        <v>5.4100000000000002E-2</v>
      </c>
      <c r="I53" s="179">
        <v>5.3098399999999997E-2</v>
      </c>
      <c r="J53" s="179">
        <v>5.33E-2</v>
      </c>
      <c r="K53" s="173">
        <v>6697500</v>
      </c>
      <c r="L53" s="184">
        <v>3500000</v>
      </c>
      <c r="M53" s="183">
        <f t="shared" si="6"/>
        <v>1.9135714285714285</v>
      </c>
    </row>
    <row r="54" spans="1:13" s="71" customFormat="1" ht="12.75" customHeight="1" outlineLevel="1">
      <c r="A54" s="169"/>
      <c r="B54" s="169"/>
      <c r="C54" s="169"/>
      <c r="D54" s="192" t="s">
        <v>139</v>
      </c>
      <c r="E54" s="171">
        <v>48319</v>
      </c>
      <c r="F54" s="182">
        <v>6.3750000000000001E-2</v>
      </c>
      <c r="G54" s="182">
        <v>6.4699999999999994E-2</v>
      </c>
      <c r="H54" s="182">
        <v>6.6000000000000003E-2</v>
      </c>
      <c r="I54" s="179">
        <v>6.4999000000000001E-2</v>
      </c>
      <c r="J54" s="179">
        <v>6.5199999999999994E-2</v>
      </c>
      <c r="K54" s="173">
        <v>13925700</v>
      </c>
      <c r="L54" s="189">
        <v>9050000</v>
      </c>
      <c r="M54" s="190">
        <f t="shared" si="6"/>
        <v>1.5387513812154696</v>
      </c>
    </row>
    <row r="55" spans="1:13" s="71" customFormat="1" ht="12.75" customHeight="1" outlineLevel="1">
      <c r="A55" s="169"/>
      <c r="B55" s="169"/>
      <c r="C55" s="169"/>
      <c r="D55" s="192" t="s">
        <v>144</v>
      </c>
      <c r="E55" s="171">
        <v>50236</v>
      </c>
      <c r="F55" s="182">
        <v>6.3750000000000001E-2</v>
      </c>
      <c r="G55" s="182">
        <v>6.4500000000000002E-2</v>
      </c>
      <c r="H55" s="182">
        <v>6.59E-2</v>
      </c>
      <c r="I55" s="179">
        <v>6.5062900000000007E-2</v>
      </c>
      <c r="J55" s="179">
        <v>6.5299999999999997E-2</v>
      </c>
      <c r="K55" s="173">
        <v>1847000</v>
      </c>
      <c r="L55" s="189">
        <v>300000</v>
      </c>
      <c r="M55" s="190">
        <f t="shared" si="6"/>
        <v>6.1566666666666663</v>
      </c>
    </row>
    <row r="56" spans="1:13" s="71" customFormat="1" ht="12.75" customHeight="1" outlineLevel="1">
      <c r="A56" s="169"/>
      <c r="B56" s="169"/>
      <c r="C56" s="169"/>
      <c r="D56" s="192" t="s">
        <v>140</v>
      </c>
      <c r="E56" s="171">
        <v>52032</v>
      </c>
      <c r="F56" s="182">
        <v>7.1249999999999994E-2</v>
      </c>
      <c r="G56" s="182">
        <v>6.9000000000000006E-2</v>
      </c>
      <c r="H56" s="182">
        <v>7.0699999999999999E-2</v>
      </c>
      <c r="I56" s="179">
        <v>6.9018599999999999E-2</v>
      </c>
      <c r="J56" s="179">
        <v>6.9400000000000003E-2</v>
      </c>
      <c r="K56" s="173">
        <v>12002000</v>
      </c>
      <c r="L56" s="189">
        <v>6100000</v>
      </c>
      <c r="M56" s="190">
        <f t="shared" si="6"/>
        <v>1.9675409836065574</v>
      </c>
    </row>
    <row r="57" spans="1:13" s="71" customFormat="1" ht="12.75" customHeight="1" outlineLevel="1">
      <c r="A57" s="169"/>
      <c r="B57" s="169"/>
      <c r="C57" s="169"/>
      <c r="D57" s="192" t="s">
        <v>137</v>
      </c>
      <c r="E57" s="171">
        <v>55380</v>
      </c>
      <c r="F57" s="182">
        <v>6.8750000000000006E-2</v>
      </c>
      <c r="G57" s="182">
        <v>6.8599999999999994E-2</v>
      </c>
      <c r="H57" s="182">
        <v>7.0000000000000007E-2</v>
      </c>
      <c r="I57" s="179">
        <v>6.9098699999999999E-2</v>
      </c>
      <c r="J57" s="179">
        <v>6.9500000000000006E-2</v>
      </c>
      <c r="K57" s="173">
        <v>1105000</v>
      </c>
      <c r="L57" s="189">
        <v>1050000</v>
      </c>
      <c r="M57" s="190">
        <f t="shared" si="6"/>
        <v>1.0523809523809524</v>
      </c>
    </row>
    <row r="58" spans="1:13" s="196" customFormat="1" ht="12.75" customHeight="1" outlineLevel="1">
      <c r="A58" s="291" t="s">
        <v>121</v>
      </c>
      <c r="B58" s="292"/>
      <c r="C58" s="292"/>
      <c r="D58" s="292"/>
      <c r="E58" s="292"/>
      <c r="F58" s="292"/>
      <c r="G58" s="292"/>
      <c r="H58" s="292"/>
      <c r="I58" s="292"/>
      <c r="J58" s="293"/>
      <c r="K58" s="194">
        <f>SUM(K51:K57)</f>
        <v>76772200</v>
      </c>
      <c r="L58" s="194">
        <f>SUM(L51:L57)</f>
        <v>23000000</v>
      </c>
      <c r="M58" s="195"/>
    </row>
    <row r="59" spans="1:13" s="71" customFormat="1" ht="12.75" customHeight="1" outlineLevel="1">
      <c r="A59" s="178">
        <v>44613</v>
      </c>
      <c r="B59" s="171">
        <v>44250</v>
      </c>
      <c r="C59" s="200" t="s">
        <v>160</v>
      </c>
      <c r="D59" s="201" t="s">
        <v>161</v>
      </c>
      <c r="E59" s="171">
        <v>44607</v>
      </c>
      <c r="F59" s="182">
        <v>4.9000000000000002E-2</v>
      </c>
      <c r="G59" s="182"/>
      <c r="H59" s="182"/>
      <c r="I59" s="179"/>
      <c r="J59" s="179"/>
      <c r="K59" s="202">
        <v>25065802</v>
      </c>
      <c r="L59" s="202">
        <v>25065802</v>
      </c>
      <c r="M59" s="183">
        <f>IF(L59=0,0,K59/L59)</f>
        <v>1</v>
      </c>
    </row>
    <row r="60" spans="1:13" s="71" customFormat="1" ht="12.75" customHeight="1" outlineLevel="1">
      <c r="A60" s="291" t="s">
        <v>121</v>
      </c>
      <c r="B60" s="292"/>
      <c r="C60" s="292"/>
      <c r="D60" s="292"/>
      <c r="E60" s="292"/>
      <c r="F60" s="292"/>
      <c r="G60" s="292"/>
      <c r="H60" s="292"/>
      <c r="I60" s="292"/>
      <c r="J60" s="293"/>
      <c r="K60" s="194">
        <f>K59</f>
        <v>25065802</v>
      </c>
      <c r="L60" s="194">
        <f>L59</f>
        <v>25065802</v>
      </c>
      <c r="M60" s="203"/>
    </row>
    <row r="61" spans="1:13" s="71" customFormat="1" ht="12.75" customHeight="1" outlineLevel="1">
      <c r="A61" s="178">
        <v>44614</v>
      </c>
      <c r="B61" s="178">
        <v>44616</v>
      </c>
      <c r="C61" s="174" t="s">
        <v>136</v>
      </c>
      <c r="D61" s="192" t="s">
        <v>158</v>
      </c>
      <c r="E61" s="171">
        <v>44754</v>
      </c>
      <c r="F61" s="182" t="s">
        <v>128</v>
      </c>
      <c r="G61" s="182">
        <v>2.4E-2</v>
      </c>
      <c r="H61" s="182">
        <v>2.5000000000000001E-2</v>
      </c>
      <c r="I61" s="182">
        <v>2.4E-2</v>
      </c>
      <c r="J61" s="182">
        <v>2.4E-2</v>
      </c>
      <c r="K61" s="197">
        <v>21465000</v>
      </c>
      <c r="L61" s="198">
        <v>2000000</v>
      </c>
      <c r="M61" s="190">
        <f t="shared" ref="M61:M66" si="7">IF(L61=0,0,K61/L61)</f>
        <v>10.7325</v>
      </c>
    </row>
    <row r="62" spans="1:13" s="71" customFormat="1" ht="12.75" customHeight="1" outlineLevel="1">
      <c r="A62" s="178"/>
      <c r="B62" s="171"/>
      <c r="C62" s="174"/>
      <c r="D62" s="192" t="s">
        <v>145</v>
      </c>
      <c r="E62" s="171">
        <v>45488</v>
      </c>
      <c r="F62" s="182">
        <v>0.04</v>
      </c>
      <c r="G62" s="182">
        <v>0.04</v>
      </c>
      <c r="H62" s="182">
        <v>4.4400000000000002E-2</v>
      </c>
      <c r="I62" s="182">
        <v>4.07765E-2</v>
      </c>
      <c r="J62" s="182">
        <v>4.1300000000000003E-2</v>
      </c>
      <c r="K62" s="198">
        <v>1727000</v>
      </c>
      <c r="L62" s="198">
        <v>1050000</v>
      </c>
      <c r="M62" s="190">
        <f t="shared" si="7"/>
        <v>1.6447619047619049</v>
      </c>
    </row>
    <row r="63" spans="1:13" s="71" customFormat="1" ht="12.75" customHeight="1" outlineLevel="1">
      <c r="A63" s="169"/>
      <c r="B63" s="169"/>
      <c r="C63" s="169"/>
      <c r="D63" s="192" t="s">
        <v>146</v>
      </c>
      <c r="E63" s="171">
        <v>46218</v>
      </c>
      <c r="F63" s="182">
        <v>4.8750000000000002E-2</v>
      </c>
      <c r="G63" s="182">
        <v>4.8000000000000001E-2</v>
      </c>
      <c r="H63" s="182">
        <v>5.0999999999999997E-2</v>
      </c>
      <c r="I63" s="182">
        <v>4.9045900000000003E-2</v>
      </c>
      <c r="J63" s="182">
        <v>4.9399999999999999E-2</v>
      </c>
      <c r="K63" s="198">
        <v>1374000</v>
      </c>
      <c r="L63" s="198">
        <v>900000</v>
      </c>
      <c r="M63" s="190">
        <f t="shared" si="7"/>
        <v>1.5266666666666666</v>
      </c>
    </row>
    <row r="64" spans="1:13" s="71" customFormat="1" ht="12.75" customHeight="1" outlineLevel="1">
      <c r="A64" s="169"/>
      <c r="B64" s="169"/>
      <c r="C64" s="169"/>
      <c r="D64" s="71" t="s">
        <v>156</v>
      </c>
      <c r="E64" s="171">
        <v>46949</v>
      </c>
      <c r="F64" s="182">
        <v>5.8749999999999997E-2</v>
      </c>
      <c r="G64" s="182">
        <v>5.74E-2</v>
      </c>
      <c r="H64" s="182">
        <v>0.06</v>
      </c>
      <c r="I64" s="182">
        <v>5.7593900000000003E-2</v>
      </c>
      <c r="J64" s="182">
        <v>5.7799999999999997E-2</v>
      </c>
      <c r="K64" s="198">
        <v>1777400</v>
      </c>
      <c r="L64" s="198">
        <v>1100000</v>
      </c>
      <c r="M64" s="190">
        <f t="shared" si="7"/>
        <v>1.6158181818181818</v>
      </c>
    </row>
    <row r="65" spans="1:15" s="71" customFormat="1" ht="12.75" customHeight="1" outlineLevel="1">
      <c r="A65" s="169"/>
      <c r="B65" s="169"/>
      <c r="C65" s="169"/>
      <c r="D65" s="192" t="s">
        <v>147</v>
      </c>
      <c r="E65" s="171">
        <v>49018</v>
      </c>
      <c r="F65" s="182">
        <v>6.3750000000000001E-2</v>
      </c>
      <c r="G65" s="182">
        <v>6.3500000000000001E-2</v>
      </c>
      <c r="H65" s="182">
        <v>6.7900000000000002E-2</v>
      </c>
      <c r="I65" s="182">
        <v>6.4139000000000002E-2</v>
      </c>
      <c r="J65" s="182">
        <v>6.4899999999999999E-2</v>
      </c>
      <c r="K65" s="198">
        <v>5258000</v>
      </c>
      <c r="L65" s="198">
        <v>2350000</v>
      </c>
      <c r="M65" s="190">
        <f t="shared" si="7"/>
        <v>2.2374468085106383</v>
      </c>
    </row>
    <row r="66" spans="1:15" s="71" customFormat="1" ht="12.75" customHeight="1" outlineLevel="1">
      <c r="A66" s="169"/>
      <c r="B66" s="169"/>
      <c r="C66" s="169"/>
      <c r="D66" s="192" t="s">
        <v>150</v>
      </c>
      <c r="E66" s="171">
        <v>53858</v>
      </c>
      <c r="F66" s="182">
        <v>6.7500000000000004E-2</v>
      </c>
      <c r="G66" s="182">
        <v>6.7400000000000002E-2</v>
      </c>
      <c r="H66" s="182">
        <v>6.8500000000000005E-2</v>
      </c>
      <c r="I66" s="182">
        <v>6.7596600000000007E-2</v>
      </c>
      <c r="J66" s="182">
        <v>6.8000000000000005E-2</v>
      </c>
      <c r="K66" s="198">
        <v>1905200</v>
      </c>
      <c r="L66" s="198">
        <v>1600000</v>
      </c>
      <c r="M66" s="190">
        <f t="shared" si="7"/>
        <v>1.19075</v>
      </c>
    </row>
    <row r="67" spans="1:15" s="196" customFormat="1" ht="12.75" customHeight="1" outlineLevel="1">
      <c r="A67" s="297" t="s">
        <v>121</v>
      </c>
      <c r="B67" s="298"/>
      <c r="C67" s="298"/>
      <c r="D67" s="298"/>
      <c r="E67" s="298"/>
      <c r="F67" s="298"/>
      <c r="G67" s="298"/>
      <c r="H67" s="298"/>
      <c r="I67" s="298"/>
      <c r="J67" s="299"/>
      <c r="K67" s="199">
        <f>SUM(K61:K66)</f>
        <v>33506600</v>
      </c>
      <c r="L67" s="199">
        <f>SUM(L61:L66)</f>
        <v>9000000</v>
      </c>
      <c r="M67" s="195"/>
    </row>
    <row r="68" spans="1:15" s="180" customFormat="1" ht="12.75" customHeight="1">
      <c r="A68" s="294" t="s">
        <v>153</v>
      </c>
      <c r="B68" s="295"/>
      <c r="C68" s="295"/>
      <c r="D68" s="295"/>
      <c r="E68" s="295"/>
      <c r="F68" s="295"/>
      <c r="G68" s="295"/>
      <c r="H68" s="295"/>
      <c r="I68" s="295"/>
      <c r="J68" s="296"/>
      <c r="K68" s="193">
        <f>SUM(K43,K50,K58,K60,K67)</f>
        <v>236801002</v>
      </c>
      <c r="L68" s="193">
        <f>SUM(L43,L50,L58,L60,L67)</f>
        <v>93065802</v>
      </c>
      <c r="M68" s="181"/>
    </row>
    <row r="69" spans="1:15" s="180" customFormat="1" ht="12.75" customHeight="1">
      <c r="A69" s="294" t="s">
        <v>162</v>
      </c>
      <c r="B69" s="295"/>
      <c r="C69" s="295"/>
      <c r="D69" s="295"/>
      <c r="E69" s="295"/>
      <c r="F69" s="295"/>
      <c r="G69" s="295"/>
      <c r="H69" s="295"/>
      <c r="I69" s="295"/>
      <c r="J69" s="296"/>
      <c r="K69" s="193">
        <f>SUM(K35,K68)</f>
        <v>492865102</v>
      </c>
      <c r="L69" s="193">
        <f>SUM(L35,L68)</f>
        <v>165065802</v>
      </c>
      <c r="M69" s="181"/>
    </row>
    <row r="70" spans="1:15" s="71" customFormat="1" ht="12.75" customHeight="1" outlineLevel="1">
      <c r="A70" s="178">
        <v>44621</v>
      </c>
      <c r="B70" s="178">
        <v>44624</v>
      </c>
      <c r="C70" s="174" t="s">
        <v>136</v>
      </c>
      <c r="D70" s="192" t="s">
        <v>164</v>
      </c>
      <c r="E70" s="171">
        <v>44714</v>
      </c>
      <c r="F70" s="182" t="s">
        <v>128</v>
      </c>
      <c r="G70" s="182">
        <v>2.1499999999999998E-2</v>
      </c>
      <c r="H70" s="182">
        <v>2.3800000000000002E-2</v>
      </c>
      <c r="I70" s="179">
        <v>2.1739999999999999E-2</v>
      </c>
      <c r="J70" s="179">
        <v>2.1999999999999999E-2</v>
      </c>
      <c r="K70" s="173">
        <v>8180000</v>
      </c>
      <c r="L70" s="184">
        <v>1000000</v>
      </c>
      <c r="M70" s="188">
        <f>IF(L70=0,0,K70/L70)</f>
        <v>8.18</v>
      </c>
    </row>
    <row r="71" spans="1:15" s="71" customFormat="1" ht="12.75" customHeight="1" outlineLevel="1">
      <c r="A71" s="178"/>
      <c r="B71" s="171"/>
      <c r="C71" s="174"/>
      <c r="D71" s="192" t="s">
        <v>165</v>
      </c>
      <c r="E71" s="171">
        <v>44988</v>
      </c>
      <c r="F71" s="182" t="s">
        <v>128</v>
      </c>
      <c r="G71" s="182">
        <v>2.7E-2</v>
      </c>
      <c r="H71" s="182">
        <v>2.9000000000000001E-2</v>
      </c>
      <c r="I71" s="182">
        <v>2.716E-2</v>
      </c>
      <c r="J71" s="179">
        <v>2.75E-2</v>
      </c>
      <c r="K71" s="173">
        <v>24100000</v>
      </c>
      <c r="L71" s="184">
        <v>2000000</v>
      </c>
      <c r="M71" s="183">
        <f t="shared" ref="M71:M76" si="8">IF(L71=0,0,K71/L71)</f>
        <v>12.05</v>
      </c>
    </row>
    <row r="72" spans="1:15" s="71" customFormat="1" ht="12.75" customHeight="1" outlineLevel="1">
      <c r="A72" s="169"/>
      <c r="B72" s="169"/>
      <c r="C72" s="169"/>
      <c r="D72" s="192" t="s">
        <v>138</v>
      </c>
      <c r="E72" s="171">
        <v>46492</v>
      </c>
      <c r="F72" s="182">
        <v>5.1249999999999997E-2</v>
      </c>
      <c r="G72" s="182">
        <v>5.2999999999999999E-2</v>
      </c>
      <c r="H72" s="182">
        <v>5.3999999999999999E-2</v>
      </c>
      <c r="I72" s="179">
        <v>5.3496000000000002E-2</v>
      </c>
      <c r="J72" s="179">
        <v>5.3699999999999998E-2</v>
      </c>
      <c r="K72" s="173">
        <v>3051400</v>
      </c>
      <c r="L72" s="184">
        <v>1750000</v>
      </c>
      <c r="M72" s="183">
        <f t="shared" si="8"/>
        <v>1.7436571428571428</v>
      </c>
    </row>
    <row r="73" spans="1:15" s="71" customFormat="1" ht="12.75" customHeight="1" outlineLevel="1">
      <c r="A73" s="169"/>
      <c r="B73" s="169"/>
      <c r="C73" s="169"/>
      <c r="D73" s="192" t="s">
        <v>139</v>
      </c>
      <c r="E73" s="171">
        <v>48319</v>
      </c>
      <c r="F73" s="182">
        <v>6.3750000000000001E-2</v>
      </c>
      <c r="G73" s="182">
        <v>6.4699999999999994E-2</v>
      </c>
      <c r="H73" s="182">
        <v>6.6000000000000003E-2</v>
      </c>
      <c r="I73" s="179">
        <v>6.5034800000000004E-2</v>
      </c>
      <c r="J73" s="179">
        <v>6.5199999999999994E-2</v>
      </c>
      <c r="K73" s="173">
        <v>15293400</v>
      </c>
      <c r="L73" s="189">
        <v>7700000</v>
      </c>
      <c r="M73" s="190">
        <f t="shared" si="8"/>
        <v>1.9861558441558442</v>
      </c>
    </row>
    <row r="74" spans="1:15" s="71" customFormat="1" ht="12.75" customHeight="1" outlineLevel="1">
      <c r="A74" s="169"/>
      <c r="B74" s="169"/>
      <c r="C74" s="169"/>
      <c r="D74" s="192" t="s">
        <v>144</v>
      </c>
      <c r="E74" s="171">
        <v>50236</v>
      </c>
      <c r="F74" s="182">
        <v>6.3750000000000001E-2</v>
      </c>
      <c r="G74" s="182">
        <v>6.4600000000000005E-2</v>
      </c>
      <c r="H74" s="182">
        <v>6.59E-2</v>
      </c>
      <c r="I74" s="179">
        <v>6.5099400000000002E-2</v>
      </c>
      <c r="J74" s="179">
        <v>6.5199999999999994E-2</v>
      </c>
      <c r="K74" s="173">
        <v>2626200</v>
      </c>
      <c r="L74" s="189">
        <v>1700000</v>
      </c>
      <c r="M74" s="190">
        <f t="shared" si="8"/>
        <v>1.5448235294117647</v>
      </c>
    </row>
    <row r="75" spans="1:15" s="71" customFormat="1" ht="12.75" customHeight="1" outlineLevel="1">
      <c r="A75" s="169"/>
      <c r="B75" s="169"/>
      <c r="C75" s="169"/>
      <c r="D75" s="192" t="s">
        <v>140</v>
      </c>
      <c r="E75" s="171">
        <v>52032</v>
      </c>
      <c r="F75" s="182">
        <v>7.1249999999999994E-2</v>
      </c>
      <c r="G75" s="182">
        <v>6.8699999999999997E-2</v>
      </c>
      <c r="H75" s="182">
        <v>7.0000000000000007E-2</v>
      </c>
      <c r="I75" s="179">
        <v>6.8998799999999999E-2</v>
      </c>
      <c r="J75" s="179">
        <v>6.9099999999999995E-2</v>
      </c>
      <c r="K75" s="173">
        <v>6951300</v>
      </c>
      <c r="L75" s="189">
        <v>4150000</v>
      </c>
      <c r="M75" s="190">
        <f t="shared" si="8"/>
        <v>1.6750120481927711</v>
      </c>
    </row>
    <row r="76" spans="1:15" s="71" customFormat="1" ht="12.75" customHeight="1" outlineLevel="1">
      <c r="A76" s="169"/>
      <c r="B76" s="169"/>
      <c r="C76" s="169"/>
      <c r="D76" s="192" t="s">
        <v>137</v>
      </c>
      <c r="E76" s="171">
        <v>55380</v>
      </c>
      <c r="F76" s="182">
        <v>6.8750000000000006E-2</v>
      </c>
      <c r="G76" s="182">
        <v>6.8699999999999997E-2</v>
      </c>
      <c r="H76" s="182">
        <v>6.9800000000000001E-2</v>
      </c>
      <c r="I76" s="179">
        <v>6.8996399999999999E-2</v>
      </c>
      <c r="J76" s="179">
        <v>6.9000000000000006E-2</v>
      </c>
      <c r="K76" s="173">
        <v>1316700</v>
      </c>
      <c r="L76" s="189">
        <v>700000</v>
      </c>
      <c r="M76" s="190">
        <f t="shared" si="8"/>
        <v>1.881</v>
      </c>
    </row>
    <row r="77" spans="1:15" s="196" customFormat="1" ht="12.75" customHeight="1" outlineLevel="1">
      <c r="A77" s="291" t="s">
        <v>121</v>
      </c>
      <c r="B77" s="292"/>
      <c r="C77" s="292"/>
      <c r="D77" s="292"/>
      <c r="E77" s="292"/>
      <c r="F77" s="292"/>
      <c r="G77" s="292"/>
      <c r="H77" s="292"/>
      <c r="I77" s="292"/>
      <c r="J77" s="293"/>
      <c r="K77" s="194">
        <f>SUM(K70:K76)</f>
        <v>61519000</v>
      </c>
      <c r="L77" s="194">
        <f>SUM(L70:L76)</f>
        <v>19000000</v>
      </c>
      <c r="M77" s="195"/>
    </row>
    <row r="78" spans="1:15" s="213" customFormat="1" ht="17.25" customHeight="1" outlineLevel="1">
      <c r="A78" s="204">
        <v>44617</v>
      </c>
      <c r="B78" s="204">
        <v>44624</v>
      </c>
      <c r="C78" s="205" t="s">
        <v>166</v>
      </c>
      <c r="D78" s="206" t="s">
        <v>167</v>
      </c>
      <c r="E78" s="207">
        <v>46767</v>
      </c>
      <c r="F78" s="208">
        <v>5.6000000000000001E-2</v>
      </c>
      <c r="G78" s="209" t="s">
        <v>130</v>
      </c>
      <c r="H78" s="209" t="s">
        <v>130</v>
      </c>
      <c r="I78" s="210">
        <v>5.6000000000000001E-2</v>
      </c>
      <c r="J78" s="209" t="s">
        <v>130</v>
      </c>
      <c r="K78" s="211">
        <v>46350</v>
      </c>
      <c r="L78" s="211">
        <v>46350</v>
      </c>
      <c r="M78" s="212">
        <f t="shared" ref="M78" si="9">IF(L78=0,0,K78/L78)</f>
        <v>1</v>
      </c>
      <c r="O78" s="216"/>
    </row>
    <row r="79" spans="1:15" s="71" customFormat="1" ht="12.75" customHeight="1" outlineLevel="1">
      <c r="A79" s="169"/>
      <c r="B79" s="171"/>
      <c r="C79" s="174"/>
      <c r="D79" s="192" t="s">
        <v>233</v>
      </c>
      <c r="E79" s="171">
        <v>48228</v>
      </c>
      <c r="F79" s="182">
        <v>0.03</v>
      </c>
      <c r="G79" s="182"/>
      <c r="H79" s="182"/>
      <c r="I79" s="179">
        <v>0.03</v>
      </c>
      <c r="J79" s="179"/>
      <c r="K79" s="189" t="s">
        <v>168</v>
      </c>
      <c r="L79" s="189" t="s">
        <v>168</v>
      </c>
      <c r="M79" s="190"/>
    </row>
    <row r="80" spans="1:15" s="71" customFormat="1" ht="12.75" customHeight="1" outlineLevel="1">
      <c r="A80" s="169"/>
      <c r="B80" s="169"/>
      <c r="C80" s="174"/>
      <c r="D80" s="192"/>
      <c r="E80" s="171"/>
      <c r="F80" s="182"/>
      <c r="G80" s="182"/>
      <c r="H80" s="182"/>
      <c r="I80" s="179"/>
      <c r="J80" s="179"/>
      <c r="K80" s="189">
        <v>9342</v>
      </c>
      <c r="L80" s="189">
        <v>9342</v>
      </c>
      <c r="M80" s="190"/>
    </row>
    <row r="81" spans="1:15" s="215" customFormat="1" ht="13.5" customHeight="1" outlineLevel="1">
      <c r="A81" s="288" t="s">
        <v>121</v>
      </c>
      <c r="B81" s="289"/>
      <c r="C81" s="289"/>
      <c r="D81" s="289"/>
      <c r="E81" s="289"/>
      <c r="F81" s="289"/>
      <c r="G81" s="289"/>
      <c r="H81" s="289"/>
      <c r="I81" s="289"/>
      <c r="J81" s="290"/>
      <c r="K81" s="214">
        <f>SUM(K78,K80)</f>
        <v>55692</v>
      </c>
      <c r="L81" s="214">
        <f>SUM(L78,L80)</f>
        <v>55692</v>
      </c>
      <c r="M81" s="214"/>
    </row>
    <row r="82" spans="1:15" s="213" customFormat="1" ht="17.25" customHeight="1" outlineLevel="1">
      <c r="A82" s="204">
        <v>44624</v>
      </c>
      <c r="B82" s="204">
        <v>44628</v>
      </c>
      <c r="C82" s="205" t="s">
        <v>166</v>
      </c>
      <c r="D82" s="206" t="s">
        <v>169</v>
      </c>
      <c r="E82" s="207">
        <v>47741</v>
      </c>
      <c r="F82" s="208">
        <v>7.0000000000000007E-2</v>
      </c>
      <c r="G82" s="209" t="s">
        <v>130</v>
      </c>
      <c r="H82" s="209" t="s">
        <v>130</v>
      </c>
      <c r="I82" s="210">
        <v>6.25E-2</v>
      </c>
      <c r="J82" s="209" t="s">
        <v>130</v>
      </c>
      <c r="K82" s="211">
        <v>600000</v>
      </c>
      <c r="L82" s="211">
        <f>K82</f>
        <v>600000</v>
      </c>
      <c r="M82" s="212">
        <f t="shared" ref="M82" si="10">IF(L82=0,0,K82/L82)</f>
        <v>1</v>
      </c>
      <c r="O82" s="216"/>
    </row>
    <row r="83" spans="1:15" s="213" customFormat="1" ht="17.25" customHeight="1" outlineLevel="1">
      <c r="A83" s="204"/>
      <c r="B83" s="204"/>
      <c r="C83" s="205"/>
      <c r="D83" s="206" t="s">
        <v>170</v>
      </c>
      <c r="E83" s="207">
        <v>47894</v>
      </c>
      <c r="F83" s="208">
        <v>6.5000000000000002E-2</v>
      </c>
      <c r="G83" s="209" t="s">
        <v>130</v>
      </c>
      <c r="H83" s="209" t="s">
        <v>130</v>
      </c>
      <c r="I83" s="210">
        <v>6.3100000000000003E-2</v>
      </c>
      <c r="J83" s="209" t="s">
        <v>130</v>
      </c>
      <c r="K83" s="211">
        <v>600000</v>
      </c>
      <c r="L83" s="211">
        <f t="shared" ref="L83:L85" si="11">K83</f>
        <v>600000</v>
      </c>
      <c r="M83" s="212">
        <f t="shared" ref="M83" si="12">IF(L83=0,0,K83/L83)</f>
        <v>1</v>
      </c>
      <c r="O83" s="216"/>
    </row>
    <row r="84" spans="1:15" s="71" customFormat="1" ht="12.75" customHeight="1" outlineLevel="1">
      <c r="A84" s="204"/>
      <c r="B84" s="204"/>
      <c r="C84" s="205"/>
      <c r="D84" s="206" t="s">
        <v>98</v>
      </c>
      <c r="E84" s="207">
        <v>48714</v>
      </c>
      <c r="F84" s="208">
        <v>6.6250000000000003E-2</v>
      </c>
      <c r="G84" s="209" t="s">
        <v>130</v>
      </c>
      <c r="H84" s="209" t="s">
        <v>130</v>
      </c>
      <c r="I84" s="210">
        <v>6.54E-2</v>
      </c>
      <c r="J84" s="209" t="s">
        <v>130</v>
      </c>
      <c r="K84" s="211">
        <v>800000</v>
      </c>
      <c r="L84" s="211">
        <f t="shared" si="11"/>
        <v>800000</v>
      </c>
      <c r="M84" s="212">
        <f t="shared" ref="M84" si="13">IF(L84=0,0,K84/L84)</f>
        <v>1</v>
      </c>
    </row>
    <row r="85" spans="1:15" s="71" customFormat="1" ht="12.75" customHeight="1" outlineLevel="1">
      <c r="A85" s="204"/>
      <c r="B85" s="204"/>
      <c r="C85" s="174"/>
      <c r="D85" s="192" t="s">
        <v>47</v>
      </c>
      <c r="E85" s="171">
        <v>51971</v>
      </c>
      <c r="F85" s="182">
        <v>6.3750000000000001E-2</v>
      </c>
      <c r="G85" s="182" t="s">
        <v>130</v>
      </c>
      <c r="H85" s="182" t="s">
        <v>130</v>
      </c>
      <c r="I85" s="179">
        <v>6.5299999999999997E-2</v>
      </c>
      <c r="J85" s="179" t="s">
        <v>130</v>
      </c>
      <c r="K85" s="189">
        <v>1000000</v>
      </c>
      <c r="L85" s="211">
        <f t="shared" si="11"/>
        <v>1000000</v>
      </c>
      <c r="M85" s="190">
        <v>1</v>
      </c>
    </row>
    <row r="86" spans="1:15" s="215" customFormat="1" ht="13.5" customHeight="1" outlineLevel="1">
      <c r="A86" s="288" t="s">
        <v>121</v>
      </c>
      <c r="B86" s="289"/>
      <c r="C86" s="289"/>
      <c r="D86" s="289"/>
      <c r="E86" s="289"/>
      <c r="F86" s="289"/>
      <c r="G86" s="289"/>
      <c r="H86" s="289"/>
      <c r="I86" s="289"/>
      <c r="J86" s="290"/>
      <c r="K86" s="214">
        <f>SUM(K82:K85)</f>
        <v>3000000</v>
      </c>
      <c r="L86" s="214">
        <f>SUM(L82:L85)</f>
        <v>3000000</v>
      </c>
      <c r="M86" s="214"/>
    </row>
    <row r="87" spans="1:15" s="71" customFormat="1" ht="12.75" customHeight="1" outlineLevel="1">
      <c r="A87" s="178">
        <v>44628</v>
      </c>
      <c r="B87" s="178">
        <v>44630</v>
      </c>
      <c r="C87" s="174" t="s">
        <v>136</v>
      </c>
      <c r="D87" s="192" t="s">
        <v>171</v>
      </c>
      <c r="E87" s="171">
        <v>44754</v>
      </c>
      <c r="F87" s="182" t="s">
        <v>128</v>
      </c>
      <c r="G87" s="182">
        <v>2.3300000000000001E-2</v>
      </c>
      <c r="H87" s="182">
        <v>2.8000000000000001E-2</v>
      </c>
      <c r="I87" s="182">
        <v>2.37723E-2</v>
      </c>
      <c r="J87" s="182">
        <v>2.4E-2</v>
      </c>
      <c r="K87" s="197">
        <v>6665000</v>
      </c>
      <c r="L87" s="198">
        <v>2200000</v>
      </c>
      <c r="M87" s="190">
        <f t="shared" ref="M87:M92" si="14">IF(L87=0,0,K87/L87)</f>
        <v>3.0295454545454548</v>
      </c>
    </row>
    <row r="88" spans="1:15" s="71" customFormat="1" ht="12.75" customHeight="1" outlineLevel="1">
      <c r="A88" s="178"/>
      <c r="B88" s="171"/>
      <c r="C88" s="174"/>
      <c r="D88" s="192" t="s">
        <v>145</v>
      </c>
      <c r="E88" s="171">
        <v>45488</v>
      </c>
      <c r="F88" s="182">
        <v>0.04</v>
      </c>
      <c r="G88" s="182">
        <v>4.1000000000000002E-2</v>
      </c>
      <c r="H88" s="182">
        <v>4.4900000000000002E-2</v>
      </c>
      <c r="I88" s="182">
        <v>4.12743E-2</v>
      </c>
      <c r="J88" s="182">
        <v>4.1399999999999999E-2</v>
      </c>
      <c r="K88" s="198">
        <v>1399000</v>
      </c>
      <c r="L88" s="198">
        <v>200000</v>
      </c>
      <c r="M88" s="190">
        <f t="shared" si="14"/>
        <v>6.9950000000000001</v>
      </c>
    </row>
    <row r="89" spans="1:15" s="71" customFormat="1" ht="12.75" customHeight="1" outlineLevel="1">
      <c r="A89" s="169"/>
      <c r="B89" s="169"/>
      <c r="C89" s="169"/>
      <c r="D89" s="192" t="s">
        <v>146</v>
      </c>
      <c r="E89" s="171">
        <v>46218</v>
      </c>
      <c r="F89" s="182">
        <v>4.8750000000000002E-2</v>
      </c>
      <c r="G89" s="182">
        <v>4.9299999999999997E-2</v>
      </c>
      <c r="H89" s="182">
        <v>5.7000000000000002E-2</v>
      </c>
      <c r="I89" s="182">
        <v>4.9884999999999999E-2</v>
      </c>
      <c r="J89" s="182">
        <v>5.0099999999999999E-2</v>
      </c>
      <c r="K89" s="198">
        <v>1202500</v>
      </c>
      <c r="L89" s="198">
        <v>750000</v>
      </c>
      <c r="M89" s="190">
        <f t="shared" si="14"/>
        <v>1.6033333333333333</v>
      </c>
    </row>
    <row r="90" spans="1:15" s="71" customFormat="1" ht="12.75" customHeight="1" outlineLevel="1">
      <c r="A90" s="169"/>
      <c r="B90" s="169"/>
      <c r="C90" s="169"/>
      <c r="D90" s="192" t="s">
        <v>147</v>
      </c>
      <c r="E90" s="171">
        <v>49018</v>
      </c>
      <c r="F90" s="182">
        <v>6.3750000000000001E-2</v>
      </c>
      <c r="G90" s="182">
        <v>6.4100000000000004E-2</v>
      </c>
      <c r="H90" s="182">
        <v>6.8900000000000003E-2</v>
      </c>
      <c r="I90" s="182">
        <v>6.5207100000000004E-2</v>
      </c>
      <c r="J90" s="182">
        <v>6.5500000000000003E-2</v>
      </c>
      <c r="K90" s="198">
        <v>2729500</v>
      </c>
      <c r="L90" s="198">
        <v>200000</v>
      </c>
      <c r="M90" s="190">
        <f t="shared" si="14"/>
        <v>13.647500000000001</v>
      </c>
    </row>
    <row r="91" spans="1:15" s="71" customFormat="1" ht="12.75" customHeight="1" outlineLevel="1">
      <c r="A91" s="169"/>
      <c r="B91" s="169"/>
      <c r="C91" s="169"/>
      <c r="D91" s="192" t="s">
        <v>149</v>
      </c>
      <c r="E91" s="171">
        <v>50936</v>
      </c>
      <c r="F91" s="182">
        <v>6.5000000000000002E-2</v>
      </c>
      <c r="G91" s="182">
        <v>6.5000000000000002E-2</v>
      </c>
      <c r="H91" s="182">
        <v>6.7500000000000004E-2</v>
      </c>
      <c r="I91" s="182">
        <v>6.6130900000000006E-2</v>
      </c>
      <c r="J91" s="182">
        <v>6.7000000000000004E-2</v>
      </c>
      <c r="K91" s="198">
        <v>2168000</v>
      </c>
      <c r="L91" s="198">
        <v>1850000</v>
      </c>
      <c r="M91" s="190">
        <f t="shared" si="14"/>
        <v>1.1718918918918919</v>
      </c>
    </row>
    <row r="92" spans="1:15" s="71" customFormat="1" ht="12.75" customHeight="1" outlineLevel="1">
      <c r="A92" s="169"/>
      <c r="B92" s="169"/>
      <c r="C92" s="169"/>
      <c r="D92" s="192" t="s">
        <v>150</v>
      </c>
      <c r="E92" s="171">
        <v>53858</v>
      </c>
      <c r="F92" s="182">
        <v>6.7500000000000004E-2</v>
      </c>
      <c r="G92" s="182">
        <v>6.7500000000000004E-2</v>
      </c>
      <c r="H92" s="182">
        <v>7.0499999999999993E-2</v>
      </c>
      <c r="I92" s="182">
        <v>6.7750900000000003E-2</v>
      </c>
      <c r="J92" s="182">
        <v>6.8599999999999994E-2</v>
      </c>
      <c r="K92" s="198">
        <v>1139000</v>
      </c>
      <c r="L92" s="198">
        <v>1000000</v>
      </c>
      <c r="M92" s="190">
        <f t="shared" si="14"/>
        <v>1.139</v>
      </c>
    </row>
    <row r="93" spans="1:15" s="196" customFormat="1" ht="12.75" customHeight="1" outlineLevel="1">
      <c r="A93" s="297" t="s">
        <v>121</v>
      </c>
      <c r="B93" s="298"/>
      <c r="C93" s="298"/>
      <c r="D93" s="298"/>
      <c r="E93" s="298"/>
      <c r="F93" s="298"/>
      <c r="G93" s="298"/>
      <c r="H93" s="298"/>
      <c r="I93" s="298"/>
      <c r="J93" s="299"/>
      <c r="K93" s="199">
        <f>SUM(K87:K92)</f>
        <v>15303000</v>
      </c>
      <c r="L93" s="199">
        <f>SUM(L87:L92)</f>
        <v>6200000</v>
      </c>
      <c r="M93" s="195"/>
    </row>
    <row r="94" spans="1:15" s="213" customFormat="1" ht="17.25" customHeight="1" outlineLevel="1">
      <c r="A94" s="204">
        <v>44629</v>
      </c>
      <c r="B94" s="204">
        <v>44631</v>
      </c>
      <c r="C94" s="205" t="s">
        <v>166</v>
      </c>
      <c r="D94" s="206" t="s">
        <v>50</v>
      </c>
      <c r="E94" s="207">
        <v>46402</v>
      </c>
      <c r="F94" s="208">
        <v>5.21E-2</v>
      </c>
      <c r="G94" s="209" t="s">
        <v>130</v>
      </c>
      <c r="H94" s="209" t="s">
        <v>130</v>
      </c>
      <c r="I94" s="210">
        <v>5.21E-2</v>
      </c>
      <c r="J94" s="209" t="s">
        <v>130</v>
      </c>
      <c r="K94" s="211">
        <v>500</v>
      </c>
      <c r="L94" s="211">
        <v>500</v>
      </c>
      <c r="M94" s="212">
        <f t="shared" ref="M94" si="15">IF(L94=0,0,K94/L94)</f>
        <v>1</v>
      </c>
      <c r="O94" s="216"/>
    </row>
    <row r="95" spans="1:15" s="196" customFormat="1" ht="12.75" customHeight="1" outlineLevel="1">
      <c r="A95" s="297" t="s">
        <v>121</v>
      </c>
      <c r="B95" s="298"/>
      <c r="C95" s="298"/>
      <c r="D95" s="298"/>
      <c r="E95" s="298"/>
      <c r="F95" s="298"/>
      <c r="G95" s="298"/>
      <c r="H95" s="298"/>
      <c r="I95" s="298"/>
      <c r="J95" s="299"/>
      <c r="K95" s="199">
        <f>SUM(K94)</f>
        <v>500</v>
      </c>
      <c r="L95" s="199">
        <f>SUM(L94)</f>
        <v>500</v>
      </c>
      <c r="M95" s="217"/>
    </row>
    <row r="96" spans="1:15" s="71" customFormat="1" ht="12.75" customHeight="1" outlineLevel="1">
      <c r="A96" s="178">
        <v>44635</v>
      </c>
      <c r="B96" s="178">
        <v>44637</v>
      </c>
      <c r="C96" s="174" t="s">
        <v>136</v>
      </c>
      <c r="D96" s="192" t="s">
        <v>172</v>
      </c>
      <c r="E96" s="171">
        <v>44727</v>
      </c>
      <c r="F96" s="182" t="s">
        <v>128</v>
      </c>
      <c r="G96" s="182">
        <v>2.1000000000000001E-2</v>
      </c>
      <c r="H96" s="182">
        <v>2.6499999999999999E-2</v>
      </c>
      <c r="I96" s="179">
        <v>2.1000000000000001E-2</v>
      </c>
      <c r="J96" s="179">
        <v>2.1000000000000001E-2</v>
      </c>
      <c r="K96" s="173">
        <v>8200000</v>
      </c>
      <c r="L96" s="184">
        <v>1000000</v>
      </c>
      <c r="M96" s="188">
        <f>IF(L96=0,0,K96/L96)</f>
        <v>8.1999999999999993</v>
      </c>
    </row>
    <row r="97" spans="1:15" s="71" customFormat="1" ht="12.75" customHeight="1" outlineLevel="1">
      <c r="A97" s="178"/>
      <c r="B97" s="171"/>
      <c r="C97" s="174"/>
      <c r="D97" s="192" t="s">
        <v>165</v>
      </c>
      <c r="E97" s="171">
        <v>44988</v>
      </c>
      <c r="F97" s="182" t="s">
        <v>128</v>
      </c>
      <c r="G97" s="182">
        <v>2.5000000000000001E-2</v>
      </c>
      <c r="H97" s="182">
        <v>3.0499999999999999E-2</v>
      </c>
      <c r="I97" s="182">
        <v>2.5159999999999998E-2</v>
      </c>
      <c r="J97" s="179">
        <v>2.5399999999999999E-2</v>
      </c>
      <c r="K97" s="173">
        <v>17702000</v>
      </c>
      <c r="L97" s="184">
        <v>2000000</v>
      </c>
      <c r="M97" s="183">
        <f t="shared" ref="M97:M102" si="16">IF(L97=0,0,K97/L97)</f>
        <v>8.8510000000000009</v>
      </c>
    </row>
    <row r="98" spans="1:15" s="71" customFormat="1" ht="12.75" customHeight="1" outlineLevel="1">
      <c r="A98" s="169"/>
      <c r="B98" s="169"/>
      <c r="C98" s="169"/>
      <c r="D98" s="192" t="s">
        <v>138</v>
      </c>
      <c r="E98" s="171">
        <v>46492</v>
      </c>
      <c r="F98" s="182">
        <v>5.1249999999999997E-2</v>
      </c>
      <c r="G98" s="182">
        <v>5.5199999999999999E-2</v>
      </c>
      <c r="H98" s="182">
        <v>5.7000000000000002E-2</v>
      </c>
      <c r="I98" s="179">
        <v>5.5795699999999997E-2</v>
      </c>
      <c r="J98" s="179">
        <v>5.6000000000000001E-2</v>
      </c>
      <c r="K98" s="173">
        <v>3148000</v>
      </c>
      <c r="L98" s="184">
        <v>2250000</v>
      </c>
      <c r="M98" s="183">
        <f t="shared" si="16"/>
        <v>1.3991111111111112</v>
      </c>
    </row>
    <row r="99" spans="1:15" s="71" customFormat="1" ht="12.75" customHeight="1" outlineLevel="1">
      <c r="A99" s="169"/>
      <c r="B99" s="169"/>
      <c r="C99" s="169"/>
      <c r="D99" s="192" t="s">
        <v>139</v>
      </c>
      <c r="E99" s="171">
        <v>48319</v>
      </c>
      <c r="F99" s="182">
        <v>6.3750000000000001E-2</v>
      </c>
      <c r="G99" s="182">
        <v>6.6500000000000004E-2</v>
      </c>
      <c r="H99" s="182">
        <v>6.9000000000000006E-2</v>
      </c>
      <c r="I99" s="179">
        <v>6.7396899999999996E-2</v>
      </c>
      <c r="J99" s="179">
        <v>6.7799999999999999E-2</v>
      </c>
      <c r="K99" s="173">
        <v>10064700</v>
      </c>
      <c r="L99" s="189">
        <v>7350000</v>
      </c>
      <c r="M99" s="190">
        <f t="shared" si="16"/>
        <v>1.3693469387755102</v>
      </c>
    </row>
    <row r="100" spans="1:15" s="71" customFormat="1" ht="12.75" customHeight="1" outlineLevel="1">
      <c r="A100" s="169"/>
      <c r="B100" s="169"/>
      <c r="C100" s="169"/>
      <c r="D100" s="192" t="s">
        <v>144</v>
      </c>
      <c r="E100" s="171">
        <v>50236</v>
      </c>
      <c r="F100" s="182">
        <v>6.3750000000000001E-2</v>
      </c>
      <c r="G100" s="182">
        <v>6.6500000000000004E-2</v>
      </c>
      <c r="H100" s="182">
        <v>6.8400000000000002E-2</v>
      </c>
      <c r="I100" s="179">
        <v>6.7054100000000005E-2</v>
      </c>
      <c r="J100" s="179">
        <v>6.7500000000000004E-2</v>
      </c>
      <c r="K100" s="173">
        <v>2011100</v>
      </c>
      <c r="L100" s="189">
        <v>250000</v>
      </c>
      <c r="M100" s="190">
        <f t="shared" si="16"/>
        <v>8.0443999999999996</v>
      </c>
    </row>
    <row r="101" spans="1:15" s="71" customFormat="1" ht="12.75" customHeight="1" outlineLevel="1">
      <c r="A101" s="169"/>
      <c r="B101" s="169"/>
      <c r="C101" s="169"/>
      <c r="D101" s="192" t="s">
        <v>140</v>
      </c>
      <c r="E101" s="171">
        <v>52032</v>
      </c>
      <c r="F101" s="182">
        <v>7.1249999999999994E-2</v>
      </c>
      <c r="G101" s="182">
        <v>7.0199999999999999E-2</v>
      </c>
      <c r="H101" s="182">
        <v>7.3899999999999993E-2</v>
      </c>
      <c r="I101" s="179">
        <v>7.12951E-2</v>
      </c>
      <c r="J101" s="179">
        <v>7.1999999999999995E-2</v>
      </c>
      <c r="K101" s="173">
        <v>6725900</v>
      </c>
      <c r="L101" s="189">
        <v>4350000</v>
      </c>
      <c r="M101" s="190">
        <f t="shared" si="16"/>
        <v>1.5461839080459769</v>
      </c>
    </row>
    <row r="102" spans="1:15" s="71" customFormat="1" ht="12.75" customHeight="1" outlineLevel="1">
      <c r="A102" s="169"/>
      <c r="B102" s="169"/>
      <c r="C102" s="169"/>
      <c r="D102" s="192" t="s">
        <v>137</v>
      </c>
      <c r="E102" s="171">
        <v>55380</v>
      </c>
      <c r="F102" s="182">
        <v>6.8750000000000006E-2</v>
      </c>
      <c r="G102" s="182">
        <v>6.93E-2</v>
      </c>
      <c r="H102" s="182">
        <v>7.1499999999999994E-2</v>
      </c>
      <c r="I102" s="179">
        <v>6.9788000000000003E-2</v>
      </c>
      <c r="J102" s="179">
        <v>7.0000000000000007E-2</v>
      </c>
      <c r="K102" s="173">
        <v>1310000</v>
      </c>
      <c r="L102" s="189">
        <v>50000</v>
      </c>
      <c r="M102" s="190">
        <f t="shared" si="16"/>
        <v>26.2</v>
      </c>
    </row>
    <row r="103" spans="1:15" s="196" customFormat="1" ht="12.75" customHeight="1" outlineLevel="1">
      <c r="A103" s="291" t="s">
        <v>121</v>
      </c>
      <c r="B103" s="292"/>
      <c r="C103" s="292"/>
      <c r="D103" s="292"/>
      <c r="E103" s="292"/>
      <c r="F103" s="292"/>
      <c r="G103" s="292"/>
      <c r="H103" s="292"/>
      <c r="I103" s="292"/>
      <c r="J103" s="293"/>
      <c r="K103" s="194">
        <f>SUM(K96:K102)</f>
        <v>49161700</v>
      </c>
      <c r="L103" s="194">
        <f>SUM(L96:L102)</f>
        <v>17250000</v>
      </c>
      <c r="M103" s="195"/>
    </row>
    <row r="104" spans="1:15" s="213" customFormat="1" ht="17.25" customHeight="1" outlineLevel="1">
      <c r="A104" s="204">
        <v>44641</v>
      </c>
      <c r="B104" s="204">
        <v>44643</v>
      </c>
      <c r="C104" s="174" t="s">
        <v>160</v>
      </c>
      <c r="D104" s="206" t="s">
        <v>210</v>
      </c>
      <c r="E104" s="207">
        <v>45726</v>
      </c>
      <c r="F104" s="208">
        <v>4.9500000000000002E-2</v>
      </c>
      <c r="G104" s="209" t="s">
        <v>130</v>
      </c>
      <c r="H104" s="209" t="s">
        <v>130</v>
      </c>
      <c r="I104" s="208">
        <v>4.9500000000000002E-2</v>
      </c>
      <c r="J104" s="209" t="s">
        <v>130</v>
      </c>
      <c r="K104" s="211">
        <v>18409546</v>
      </c>
      <c r="L104" s="211">
        <v>18409546</v>
      </c>
      <c r="M104" s="212">
        <f t="shared" ref="M104" si="17">IF(L104=0,0,K104/L104)</f>
        <v>1</v>
      </c>
      <c r="O104" s="216"/>
    </row>
    <row r="105" spans="1:15" s="196" customFormat="1" ht="12.75" customHeight="1" outlineLevel="1">
      <c r="A105" s="297" t="s">
        <v>121</v>
      </c>
      <c r="B105" s="298"/>
      <c r="C105" s="298"/>
      <c r="D105" s="298"/>
      <c r="E105" s="298"/>
      <c r="F105" s="298"/>
      <c r="G105" s="298"/>
      <c r="H105" s="298"/>
      <c r="I105" s="298"/>
      <c r="J105" s="299"/>
      <c r="K105" s="199">
        <f>SUM(K104)</f>
        <v>18409546</v>
      </c>
      <c r="L105" s="199">
        <f>SUM(L104)</f>
        <v>18409546</v>
      </c>
      <c r="M105" s="217"/>
    </row>
    <row r="106" spans="1:15" s="71" customFormat="1" ht="12.75" customHeight="1" outlineLevel="1">
      <c r="A106" s="178">
        <v>44642</v>
      </c>
      <c r="B106" s="178">
        <v>44644</v>
      </c>
      <c r="C106" s="174" t="s">
        <v>136</v>
      </c>
      <c r="D106" s="192" t="s">
        <v>171</v>
      </c>
      <c r="E106" s="171">
        <v>44754</v>
      </c>
      <c r="F106" s="182" t="s">
        <v>128</v>
      </c>
      <c r="G106" s="182">
        <v>2.4500000000000001E-2</v>
      </c>
      <c r="H106" s="182">
        <v>0.03</v>
      </c>
      <c r="I106" s="218" t="s">
        <v>130</v>
      </c>
      <c r="J106" s="218" t="s">
        <v>130</v>
      </c>
      <c r="K106" s="197">
        <v>4020000</v>
      </c>
      <c r="L106" s="219" t="s">
        <v>130</v>
      </c>
      <c r="M106" s="220" t="s">
        <v>130</v>
      </c>
    </row>
    <row r="107" spans="1:15" s="71" customFormat="1" ht="12.75" customHeight="1" outlineLevel="1">
      <c r="A107" s="178"/>
      <c r="B107" s="171"/>
      <c r="C107" s="174"/>
      <c r="D107" s="192" t="s">
        <v>145</v>
      </c>
      <c r="E107" s="171">
        <v>45488</v>
      </c>
      <c r="F107" s="182">
        <v>0.04</v>
      </c>
      <c r="G107" s="182">
        <v>4.2799999999999998E-2</v>
      </c>
      <c r="H107" s="182">
        <v>4.7E-2</v>
      </c>
      <c r="I107" s="182">
        <v>4.3189100000000001E-2</v>
      </c>
      <c r="J107" s="182">
        <v>4.3799999999999999E-2</v>
      </c>
      <c r="K107" s="198">
        <v>1346000</v>
      </c>
      <c r="L107" s="198">
        <v>600000</v>
      </c>
      <c r="M107" s="190">
        <f t="shared" ref="M107:M111" si="18">IF(L107=0,0,K107/L107)</f>
        <v>2.2433333333333332</v>
      </c>
    </row>
    <row r="108" spans="1:15" s="71" customFormat="1" ht="12.75" customHeight="1" outlineLevel="1">
      <c r="A108" s="169"/>
      <c r="B108" s="169"/>
      <c r="C108" s="169"/>
      <c r="D108" s="192" t="s">
        <v>146</v>
      </c>
      <c r="E108" s="171">
        <v>46218</v>
      </c>
      <c r="F108" s="182">
        <v>4.8750000000000002E-2</v>
      </c>
      <c r="G108" s="182">
        <v>4.9500000000000002E-2</v>
      </c>
      <c r="H108" s="182">
        <v>5.5E-2</v>
      </c>
      <c r="I108" s="182">
        <v>4.9984399999999998E-2</v>
      </c>
      <c r="J108" s="182">
        <v>5.0500000000000003E-2</v>
      </c>
      <c r="K108" s="198">
        <v>2181000</v>
      </c>
      <c r="L108" s="198">
        <v>850000</v>
      </c>
      <c r="M108" s="190">
        <f t="shared" si="18"/>
        <v>2.5658823529411765</v>
      </c>
    </row>
    <row r="109" spans="1:15" s="71" customFormat="1" ht="12.75" customHeight="1" outlineLevel="1">
      <c r="A109" s="169"/>
      <c r="B109" s="169"/>
      <c r="C109" s="169"/>
      <c r="D109" s="71" t="s">
        <v>156</v>
      </c>
      <c r="E109" s="171">
        <v>46949</v>
      </c>
      <c r="F109" s="182">
        <v>5.8749999999999997E-2</v>
      </c>
      <c r="G109" s="182">
        <v>5.8999999999999997E-2</v>
      </c>
      <c r="H109" s="182">
        <v>6.0499999999999998E-2</v>
      </c>
      <c r="I109" s="182">
        <v>5.9297000000000002E-2</v>
      </c>
      <c r="J109" s="182">
        <v>0.06</v>
      </c>
      <c r="K109" s="198">
        <v>1176000</v>
      </c>
      <c r="L109" s="198">
        <v>1100000</v>
      </c>
      <c r="M109" s="190">
        <f t="shared" si="18"/>
        <v>1.0690909090909091</v>
      </c>
    </row>
    <row r="110" spans="1:15" s="71" customFormat="1" ht="12.75" customHeight="1" outlineLevel="1">
      <c r="A110" s="169"/>
      <c r="B110" s="169"/>
      <c r="C110" s="169"/>
      <c r="D110" s="192" t="s">
        <v>147</v>
      </c>
      <c r="E110" s="171">
        <v>49018</v>
      </c>
      <c r="F110" s="182">
        <v>6.3750000000000001E-2</v>
      </c>
      <c r="G110" s="182">
        <v>6.5199999999999994E-2</v>
      </c>
      <c r="H110" s="182">
        <v>7.1400000000000005E-2</v>
      </c>
      <c r="I110" s="182">
        <v>6.5507899999999994E-2</v>
      </c>
      <c r="J110" s="182">
        <v>6.59E-2</v>
      </c>
      <c r="K110" s="198">
        <v>3212000</v>
      </c>
      <c r="L110" s="198">
        <v>200000</v>
      </c>
      <c r="M110" s="190">
        <f t="shared" si="18"/>
        <v>16.059999999999999</v>
      </c>
    </row>
    <row r="111" spans="1:15" s="71" customFormat="1" ht="12.75" customHeight="1" outlineLevel="1">
      <c r="A111" s="169"/>
      <c r="B111" s="169"/>
      <c r="C111" s="169"/>
      <c r="D111" s="192" t="s">
        <v>150</v>
      </c>
      <c r="E111" s="171">
        <v>53858</v>
      </c>
      <c r="F111" s="182">
        <v>6.7500000000000004E-2</v>
      </c>
      <c r="G111" s="182">
        <v>6.8000000000000005E-2</v>
      </c>
      <c r="H111" s="182">
        <v>7.2499999999999995E-2</v>
      </c>
      <c r="I111" s="182">
        <v>6.83E-2</v>
      </c>
      <c r="J111" s="182">
        <v>6.8500000000000005E-2</v>
      </c>
      <c r="K111" s="198">
        <v>1450000</v>
      </c>
      <c r="L111" s="198">
        <v>50000</v>
      </c>
      <c r="M111" s="190">
        <f t="shared" si="18"/>
        <v>29</v>
      </c>
    </row>
    <row r="112" spans="1:15" s="196" customFormat="1" ht="12.75" customHeight="1" outlineLevel="1">
      <c r="A112" s="297" t="s">
        <v>121</v>
      </c>
      <c r="B112" s="298"/>
      <c r="C112" s="298"/>
      <c r="D112" s="298"/>
      <c r="E112" s="298"/>
      <c r="F112" s="298"/>
      <c r="G112" s="298"/>
      <c r="H112" s="298"/>
      <c r="I112" s="298"/>
      <c r="J112" s="299"/>
      <c r="K112" s="199">
        <f>SUM(K106:K111)</f>
        <v>13385000</v>
      </c>
      <c r="L112" s="199">
        <f>SUM(L106:L111)</f>
        <v>2800000</v>
      </c>
      <c r="M112" s="195"/>
    </row>
    <row r="113" spans="1:15" s="71" customFormat="1" ht="12.75" customHeight="1" outlineLevel="1">
      <c r="A113" s="178">
        <v>44643</v>
      </c>
      <c r="B113" s="178">
        <v>44644</v>
      </c>
      <c r="C113" s="174" t="s">
        <v>178</v>
      </c>
      <c r="D113" s="192" t="s">
        <v>145</v>
      </c>
      <c r="E113" s="171">
        <v>45488</v>
      </c>
      <c r="F113" s="182">
        <v>0.04</v>
      </c>
      <c r="G113" s="218" t="s">
        <v>130</v>
      </c>
      <c r="H113" s="218" t="s">
        <v>130</v>
      </c>
      <c r="I113" s="218" t="s">
        <v>130</v>
      </c>
      <c r="J113" s="218" t="s">
        <v>130</v>
      </c>
      <c r="K113" s="218" t="s">
        <v>130</v>
      </c>
      <c r="L113" s="218" t="s">
        <v>130</v>
      </c>
      <c r="M113" s="220" t="s">
        <v>130</v>
      </c>
    </row>
    <row r="114" spans="1:15" s="71" customFormat="1" ht="12.75" customHeight="1" outlineLevel="1">
      <c r="A114" s="169"/>
      <c r="B114" s="169"/>
      <c r="C114" s="169"/>
      <c r="D114" s="192" t="s">
        <v>146</v>
      </c>
      <c r="E114" s="171">
        <v>46218</v>
      </c>
      <c r="F114" s="182">
        <v>4.8750000000000002E-2</v>
      </c>
      <c r="G114" s="218" t="s">
        <v>130</v>
      </c>
      <c r="H114" s="218" t="s">
        <v>130</v>
      </c>
      <c r="I114" s="218" t="s">
        <v>130</v>
      </c>
      <c r="J114" s="218" t="s">
        <v>130</v>
      </c>
      <c r="K114" s="218" t="s">
        <v>130</v>
      </c>
      <c r="L114" s="218" t="s">
        <v>130</v>
      </c>
      <c r="M114" s="220" t="s">
        <v>130</v>
      </c>
    </row>
    <row r="115" spans="1:15" s="71" customFormat="1" ht="12.75" customHeight="1" outlineLevel="1">
      <c r="A115" s="169"/>
      <c r="B115" s="169"/>
      <c r="C115" s="169"/>
      <c r="D115" s="71" t="s">
        <v>156</v>
      </c>
      <c r="E115" s="171">
        <v>46949</v>
      </c>
      <c r="F115" s="182">
        <v>5.8749999999999997E-2</v>
      </c>
      <c r="G115" s="218" t="s">
        <v>130</v>
      </c>
      <c r="H115" s="218" t="s">
        <v>130</v>
      </c>
      <c r="I115" s="218" t="s">
        <v>130</v>
      </c>
      <c r="J115" s="182">
        <v>5.9297000000000002E-2</v>
      </c>
      <c r="K115" s="198">
        <v>5000</v>
      </c>
      <c r="L115" s="198">
        <v>5000</v>
      </c>
      <c r="M115" s="190">
        <f t="shared" ref="M115:M117" si="19">IF(L115=0,0,K115/L115)</f>
        <v>1</v>
      </c>
    </row>
    <row r="116" spans="1:15" s="71" customFormat="1" ht="12.75" customHeight="1" outlineLevel="1">
      <c r="A116" s="169"/>
      <c r="B116" s="169"/>
      <c r="C116" s="169"/>
      <c r="D116" s="192" t="s">
        <v>147</v>
      </c>
      <c r="E116" s="171">
        <v>49018</v>
      </c>
      <c r="F116" s="182">
        <v>6.3750000000000001E-2</v>
      </c>
      <c r="G116" s="218" t="s">
        <v>130</v>
      </c>
      <c r="H116" s="218" t="s">
        <v>130</v>
      </c>
      <c r="I116" s="218" t="s">
        <v>130</v>
      </c>
      <c r="J116" s="182">
        <v>6.5507899999999994E-2</v>
      </c>
      <c r="K116" s="198">
        <v>1535000</v>
      </c>
      <c r="L116" s="198">
        <v>1535000</v>
      </c>
      <c r="M116" s="190">
        <f t="shared" si="19"/>
        <v>1</v>
      </c>
    </row>
    <row r="117" spans="1:15" s="71" customFormat="1" ht="12.75" customHeight="1" outlineLevel="1">
      <c r="A117" s="169"/>
      <c r="B117" s="169"/>
      <c r="C117" s="169"/>
      <c r="D117" s="192" t="s">
        <v>150</v>
      </c>
      <c r="E117" s="171">
        <v>53858</v>
      </c>
      <c r="F117" s="182">
        <v>6.7500000000000004E-2</v>
      </c>
      <c r="G117" s="218" t="s">
        <v>130</v>
      </c>
      <c r="H117" s="218" t="s">
        <v>130</v>
      </c>
      <c r="I117" s="218" t="s">
        <v>130</v>
      </c>
      <c r="J117" s="182">
        <v>6.83E-2</v>
      </c>
      <c r="K117" s="198">
        <v>650000</v>
      </c>
      <c r="L117" s="198">
        <v>650000</v>
      </c>
      <c r="M117" s="190">
        <f t="shared" si="19"/>
        <v>1</v>
      </c>
    </row>
    <row r="118" spans="1:15" s="196" customFormat="1" ht="12.75" customHeight="1" outlineLevel="1">
      <c r="A118" s="297" t="s">
        <v>121</v>
      </c>
      <c r="B118" s="298"/>
      <c r="C118" s="298"/>
      <c r="D118" s="298"/>
      <c r="E118" s="298"/>
      <c r="F118" s="298"/>
      <c r="G118" s="298"/>
      <c r="H118" s="298"/>
      <c r="I118" s="298"/>
      <c r="J118" s="299"/>
      <c r="K118" s="199">
        <f>SUM(K115:K117)</f>
        <v>2190000</v>
      </c>
      <c r="L118" s="199">
        <f>SUM(L115:L117)</f>
        <v>2190000</v>
      </c>
      <c r="M118" s="195"/>
    </row>
    <row r="119" spans="1:15" s="213" customFormat="1" ht="17.100000000000001" customHeight="1" outlineLevel="1">
      <c r="A119" s="204">
        <v>44645</v>
      </c>
      <c r="B119" s="204">
        <v>44648</v>
      </c>
      <c r="C119" s="205" t="s">
        <v>166</v>
      </c>
      <c r="D119" s="206" t="s">
        <v>150</v>
      </c>
      <c r="E119" s="207">
        <v>53858</v>
      </c>
      <c r="F119" s="208">
        <v>6.7500000000000004E-2</v>
      </c>
      <c r="G119" s="209" t="s">
        <v>130</v>
      </c>
      <c r="H119" s="209" t="s">
        <v>130</v>
      </c>
      <c r="I119" s="208">
        <v>6.7500000000000004E-2</v>
      </c>
      <c r="J119" s="221" t="s">
        <v>130</v>
      </c>
      <c r="K119" s="211">
        <v>4010000</v>
      </c>
      <c r="L119" s="211">
        <v>4010000</v>
      </c>
      <c r="M119" s="212">
        <f t="shared" ref="M119" si="20">IF(L119=0,0,K119/L119)</f>
        <v>1</v>
      </c>
      <c r="O119" s="216"/>
    </row>
    <row r="120" spans="1:15" s="196" customFormat="1" ht="12.6" customHeight="1" outlineLevel="1">
      <c r="A120" s="297" t="s">
        <v>121</v>
      </c>
      <c r="B120" s="298"/>
      <c r="C120" s="298"/>
      <c r="D120" s="298"/>
      <c r="E120" s="298"/>
      <c r="F120" s="298"/>
      <c r="G120" s="298"/>
      <c r="H120" s="298"/>
      <c r="I120" s="298"/>
      <c r="J120" s="299"/>
      <c r="K120" s="199">
        <f>SUM(K119)</f>
        <v>4010000</v>
      </c>
      <c r="L120" s="199">
        <f>SUM(L119)</f>
        <v>4010000</v>
      </c>
      <c r="M120" s="217"/>
    </row>
    <row r="121" spans="1:15" s="213" customFormat="1" ht="17.25" customHeight="1" outlineLevel="1">
      <c r="A121" s="204">
        <v>44648</v>
      </c>
      <c r="B121" s="204">
        <v>44650</v>
      </c>
      <c r="C121" s="205" t="s">
        <v>166</v>
      </c>
      <c r="D121" s="206" t="s">
        <v>179</v>
      </c>
      <c r="E121" s="207">
        <v>51940</v>
      </c>
      <c r="F121" s="208">
        <v>6.7500000000000004E-2</v>
      </c>
      <c r="G121" s="209" t="s">
        <v>130</v>
      </c>
      <c r="H121" s="209" t="s">
        <v>130</v>
      </c>
      <c r="I121" s="208">
        <v>6.7500000000000004E-2</v>
      </c>
      <c r="J121" s="209" t="s">
        <v>130</v>
      </c>
      <c r="K121" s="211">
        <v>25664</v>
      </c>
      <c r="L121" s="211">
        <v>25664</v>
      </c>
      <c r="M121" s="212">
        <f t="shared" ref="M121" si="21">IF(L121=0,0,K121/L121)</f>
        <v>1</v>
      </c>
      <c r="O121" s="216"/>
    </row>
    <row r="122" spans="1:15" s="196" customFormat="1" ht="12.75" customHeight="1" outlineLevel="1">
      <c r="A122" s="297" t="s">
        <v>121</v>
      </c>
      <c r="B122" s="298"/>
      <c r="C122" s="298"/>
      <c r="D122" s="298"/>
      <c r="E122" s="298"/>
      <c r="F122" s="298"/>
      <c r="G122" s="298"/>
      <c r="H122" s="298"/>
      <c r="I122" s="298"/>
      <c r="J122" s="299"/>
      <c r="K122" s="199">
        <f>SUM(K121)</f>
        <v>25664</v>
      </c>
      <c r="L122" s="199">
        <f>SUM(L121)</f>
        <v>25664</v>
      </c>
      <c r="M122" s="217"/>
    </row>
    <row r="123" spans="1:15" s="222" customFormat="1" ht="12.75" customHeight="1" outlineLevel="1">
      <c r="A123" s="171">
        <v>44643</v>
      </c>
      <c r="B123" s="171">
        <v>44651</v>
      </c>
      <c r="C123" s="174" t="s">
        <v>160</v>
      </c>
      <c r="D123" s="192" t="s">
        <v>180</v>
      </c>
      <c r="E123" s="171">
        <v>11779</v>
      </c>
      <c r="F123" s="182">
        <v>3.5499999999999997E-2</v>
      </c>
      <c r="G123" s="182"/>
      <c r="H123" s="182"/>
      <c r="I123" s="179">
        <v>3.5999999999999997E-2</v>
      </c>
      <c r="J123" s="179"/>
      <c r="K123" s="189" t="s">
        <v>117</v>
      </c>
      <c r="L123" s="189" t="str">
        <f>K123</f>
        <v>USD1.000.000.000</v>
      </c>
      <c r="M123" s="190"/>
    </row>
    <row r="124" spans="1:15" s="71" customFormat="1" ht="12.75" customHeight="1" outlineLevel="1">
      <c r="A124" s="169"/>
      <c r="B124" s="169"/>
      <c r="C124" s="174"/>
      <c r="D124" s="192"/>
      <c r="E124" s="171"/>
      <c r="F124" s="182"/>
      <c r="G124" s="182"/>
      <c r="H124" s="182"/>
      <c r="I124" s="179"/>
      <c r="J124" s="179"/>
      <c r="K124" s="189">
        <f>14349*1000000000/1000000</f>
        <v>14349000</v>
      </c>
      <c r="L124" s="189">
        <f>14349*1000000000/1000000</f>
        <v>14349000</v>
      </c>
      <c r="M124" s="190"/>
    </row>
    <row r="125" spans="1:15" s="71" customFormat="1" ht="12.75" customHeight="1" outlineLevel="1">
      <c r="A125" s="169"/>
      <c r="B125" s="171">
        <v>44651</v>
      </c>
      <c r="C125" s="174"/>
      <c r="D125" s="192" t="s">
        <v>181</v>
      </c>
      <c r="E125" s="171">
        <v>55609</v>
      </c>
      <c r="F125" s="182">
        <v>4.2999999999999997E-2</v>
      </c>
      <c r="G125" s="182"/>
      <c r="H125" s="182"/>
      <c r="I125" s="179">
        <v>4.3499999999999997E-2</v>
      </c>
      <c r="J125" s="179"/>
      <c r="K125" s="189" t="s">
        <v>182</v>
      </c>
      <c r="L125" s="189" t="str">
        <f>K125</f>
        <v>USD750.000.000</v>
      </c>
      <c r="M125" s="190"/>
    </row>
    <row r="126" spans="1:15" s="71" customFormat="1" ht="12.75" customHeight="1" outlineLevel="1">
      <c r="A126" s="169"/>
      <c r="B126" s="169"/>
      <c r="C126" s="174"/>
      <c r="D126" s="192"/>
      <c r="E126" s="171"/>
      <c r="F126" s="182"/>
      <c r="G126" s="182"/>
      <c r="H126" s="182"/>
      <c r="I126" s="179"/>
      <c r="J126" s="179"/>
      <c r="K126" s="189">
        <f>14349*750000000/1000000</f>
        <v>10761750</v>
      </c>
      <c r="L126" s="189">
        <f>14349*750000000/1000000</f>
        <v>10761750</v>
      </c>
      <c r="M126" s="190"/>
    </row>
    <row r="127" spans="1:15" s="223" customFormat="1" ht="12.75" customHeight="1" outlineLevel="1">
      <c r="A127" s="291" t="s">
        <v>121</v>
      </c>
      <c r="B127" s="292"/>
      <c r="C127" s="292"/>
      <c r="D127" s="292"/>
      <c r="E127" s="292"/>
      <c r="F127" s="292"/>
      <c r="G127" s="292"/>
      <c r="H127" s="292"/>
      <c r="I127" s="292"/>
      <c r="J127" s="293"/>
      <c r="K127" s="194">
        <f>SUM(K124,K126)</f>
        <v>25110750</v>
      </c>
      <c r="L127" s="194">
        <f>SUM(L124,L126)</f>
        <v>25110750</v>
      </c>
      <c r="M127" s="195"/>
    </row>
    <row r="128" spans="1:15" s="71" customFormat="1" ht="12.75" customHeight="1" outlineLevel="1">
      <c r="A128" s="178">
        <v>44649</v>
      </c>
      <c r="B128" s="178">
        <v>44651</v>
      </c>
      <c r="C128" s="174" t="s">
        <v>136</v>
      </c>
      <c r="D128" s="192" t="s">
        <v>174</v>
      </c>
      <c r="E128" s="171">
        <v>44741</v>
      </c>
      <c r="F128" s="182" t="s">
        <v>128</v>
      </c>
      <c r="G128" s="182">
        <v>2.1000000000000001E-2</v>
      </c>
      <c r="H128" s="182">
        <v>2.8500000000000001E-2</v>
      </c>
      <c r="I128" s="179">
        <v>2.2460000000000001E-2</v>
      </c>
      <c r="J128" s="179">
        <v>2.3E-2</v>
      </c>
      <c r="K128" s="173">
        <v>2980000</v>
      </c>
      <c r="L128" s="184">
        <v>1000000</v>
      </c>
      <c r="M128" s="188">
        <f>IF(L128=0,0,K128/L128)</f>
        <v>2.98</v>
      </c>
    </row>
    <row r="129" spans="1:13" s="71" customFormat="1" ht="12.75" customHeight="1" outlineLevel="1">
      <c r="A129" s="178"/>
      <c r="B129" s="171"/>
      <c r="C129" s="174"/>
      <c r="D129" s="192" t="s">
        <v>175</v>
      </c>
      <c r="E129" s="171">
        <v>45015</v>
      </c>
      <c r="F129" s="182" t="s">
        <v>128</v>
      </c>
      <c r="G129" s="182">
        <v>2.5399999999999999E-2</v>
      </c>
      <c r="H129" s="182">
        <v>0.03</v>
      </c>
      <c r="I129" s="182">
        <v>2.7E-2</v>
      </c>
      <c r="J129" s="179">
        <v>2.76E-2</v>
      </c>
      <c r="K129" s="173">
        <v>11918300</v>
      </c>
      <c r="L129" s="184">
        <v>1700000</v>
      </c>
      <c r="M129" s="183">
        <f t="shared" ref="M129:M134" si="22">IF(L129=0,0,K129/L129)</f>
        <v>7.0107647058823526</v>
      </c>
    </row>
    <row r="130" spans="1:13" s="71" customFormat="1" ht="12.75" customHeight="1" outlineLevel="1">
      <c r="A130" s="169"/>
      <c r="B130" s="169"/>
      <c r="C130" s="169"/>
      <c r="D130" s="192" t="s">
        <v>138</v>
      </c>
      <c r="E130" s="171">
        <v>46492</v>
      </c>
      <c r="F130" s="182">
        <v>5.1249999999999997E-2</v>
      </c>
      <c r="G130" s="182">
        <v>5.5599999999999997E-2</v>
      </c>
      <c r="H130" s="182">
        <v>5.7000000000000002E-2</v>
      </c>
      <c r="I130" s="179">
        <v>5.6067400000000003E-2</v>
      </c>
      <c r="J130" s="179">
        <v>5.6500000000000002E-2</v>
      </c>
      <c r="K130" s="173">
        <v>3330500</v>
      </c>
      <c r="L130" s="184">
        <v>2550000</v>
      </c>
      <c r="M130" s="183">
        <f t="shared" si="22"/>
        <v>1.3060784313725491</v>
      </c>
    </row>
    <row r="131" spans="1:13" s="71" customFormat="1" ht="12.75" customHeight="1" outlineLevel="1">
      <c r="A131" s="169"/>
      <c r="B131" s="169"/>
      <c r="C131" s="169"/>
      <c r="D131" s="192" t="s">
        <v>139</v>
      </c>
      <c r="E131" s="171">
        <v>48319</v>
      </c>
      <c r="F131" s="182">
        <v>6.3750000000000001E-2</v>
      </c>
      <c r="G131" s="182">
        <v>6.6600000000000006E-2</v>
      </c>
      <c r="H131" s="182">
        <v>7.0000000000000007E-2</v>
      </c>
      <c r="I131" s="179">
        <v>6.7399399999999998E-2</v>
      </c>
      <c r="J131" s="179">
        <v>6.7500000000000004E-2</v>
      </c>
      <c r="K131" s="173">
        <v>14549800</v>
      </c>
      <c r="L131" s="189">
        <v>4850000</v>
      </c>
      <c r="M131" s="190">
        <f t="shared" si="22"/>
        <v>2.9999587628865978</v>
      </c>
    </row>
    <row r="132" spans="1:13" s="71" customFormat="1" ht="12.75" customHeight="1" outlineLevel="1">
      <c r="A132" s="169"/>
      <c r="B132" s="169"/>
      <c r="C132" s="169"/>
      <c r="D132" s="192" t="s">
        <v>144</v>
      </c>
      <c r="E132" s="171">
        <v>50236</v>
      </c>
      <c r="F132" s="182">
        <v>6.3750000000000001E-2</v>
      </c>
      <c r="G132" s="182">
        <v>6.6500000000000004E-2</v>
      </c>
      <c r="H132" s="182">
        <v>6.8000000000000005E-2</v>
      </c>
      <c r="I132" s="179">
        <v>6.6751400000000002E-2</v>
      </c>
      <c r="J132" s="179">
        <v>6.7000000000000004E-2</v>
      </c>
      <c r="K132" s="173">
        <v>1155200</v>
      </c>
      <c r="L132" s="189">
        <v>150000</v>
      </c>
      <c r="M132" s="190">
        <f t="shared" si="22"/>
        <v>7.7013333333333334</v>
      </c>
    </row>
    <row r="133" spans="1:13" s="71" customFormat="1" ht="12.75" customHeight="1" outlineLevel="1">
      <c r="A133" s="169"/>
      <c r="B133" s="169"/>
      <c r="C133" s="169"/>
      <c r="D133" s="192" t="s">
        <v>140</v>
      </c>
      <c r="E133" s="171">
        <v>52032</v>
      </c>
      <c r="F133" s="182">
        <v>7.1249999999999994E-2</v>
      </c>
      <c r="G133" s="182">
        <v>7.0999999999999994E-2</v>
      </c>
      <c r="H133" s="182">
        <v>7.3499999999999996E-2</v>
      </c>
      <c r="I133" s="179">
        <v>7.1739200000000003E-2</v>
      </c>
      <c r="J133" s="179">
        <v>7.2700000000000001E-2</v>
      </c>
      <c r="K133" s="173">
        <v>7310400</v>
      </c>
      <c r="L133" s="189">
        <v>6750000</v>
      </c>
      <c r="M133" s="190">
        <f t="shared" si="22"/>
        <v>1.0830222222222223</v>
      </c>
    </row>
    <row r="134" spans="1:13" s="71" customFormat="1" ht="12.75" customHeight="1" outlineLevel="1">
      <c r="A134" s="169"/>
      <c r="B134" s="169"/>
      <c r="C134" s="169"/>
      <c r="D134" s="192" t="s">
        <v>137</v>
      </c>
      <c r="E134" s="171">
        <v>55380</v>
      </c>
      <c r="F134" s="182">
        <v>6.8750000000000006E-2</v>
      </c>
      <c r="G134" s="182">
        <v>7.0000000000000007E-2</v>
      </c>
      <c r="H134" s="182">
        <v>7.1499999999999994E-2</v>
      </c>
      <c r="I134" s="179">
        <v>7.0156899999999994E-2</v>
      </c>
      <c r="J134" s="179">
        <v>7.0599999999999996E-2</v>
      </c>
      <c r="K134" s="173">
        <v>379400</v>
      </c>
      <c r="L134" s="189">
        <v>50000</v>
      </c>
      <c r="M134" s="190">
        <f t="shared" si="22"/>
        <v>7.5880000000000001</v>
      </c>
    </row>
    <row r="135" spans="1:13" s="196" customFormat="1" ht="12.75" customHeight="1" outlineLevel="1">
      <c r="A135" s="291" t="s">
        <v>121</v>
      </c>
      <c r="B135" s="292"/>
      <c r="C135" s="292"/>
      <c r="D135" s="292"/>
      <c r="E135" s="292"/>
      <c r="F135" s="292"/>
      <c r="G135" s="292"/>
      <c r="H135" s="292"/>
      <c r="I135" s="292"/>
      <c r="J135" s="293"/>
      <c r="K135" s="194">
        <f>SUM(K128:K134)</f>
        <v>41623600</v>
      </c>
      <c r="L135" s="194">
        <f>SUM(L128:L134)</f>
        <v>17050000</v>
      </c>
      <c r="M135" s="195"/>
    </row>
    <row r="136" spans="1:13" s="71" customFormat="1" ht="12.75" customHeight="1" outlineLevel="1">
      <c r="A136" s="178">
        <v>44650</v>
      </c>
      <c r="B136" s="178">
        <v>44651</v>
      </c>
      <c r="C136" s="174" t="s">
        <v>183</v>
      </c>
      <c r="D136" s="192" t="s">
        <v>138</v>
      </c>
      <c r="E136" s="171">
        <v>46492</v>
      </c>
      <c r="F136" s="182">
        <v>5.1249999999999997E-2</v>
      </c>
      <c r="G136" s="182"/>
      <c r="H136" s="182"/>
      <c r="I136" s="179">
        <v>5.6067400000000003E-2</v>
      </c>
      <c r="J136" s="179"/>
      <c r="K136" s="173">
        <v>852000</v>
      </c>
      <c r="L136" s="184">
        <v>623000</v>
      </c>
      <c r="M136" s="183">
        <f t="shared" ref="M136:M140" si="23">IF(L136=0,0,K136/L136)</f>
        <v>1.3675762439807384</v>
      </c>
    </row>
    <row r="137" spans="1:13" s="71" customFormat="1" ht="12.75" customHeight="1" outlineLevel="1">
      <c r="A137" s="169"/>
      <c r="B137" s="169"/>
      <c r="C137" s="169"/>
      <c r="D137" s="192" t="s">
        <v>139</v>
      </c>
      <c r="E137" s="171">
        <v>48319</v>
      </c>
      <c r="F137" s="182">
        <v>6.3750000000000001E-2</v>
      </c>
      <c r="G137" s="182"/>
      <c r="H137" s="182"/>
      <c r="I137" s="179">
        <v>6.7399399999999998E-2</v>
      </c>
      <c r="J137" s="179"/>
      <c r="K137" s="173">
        <v>2509900</v>
      </c>
      <c r="L137" s="189">
        <v>1836000</v>
      </c>
      <c r="M137" s="190">
        <f t="shared" si="23"/>
        <v>1.3670479302832244</v>
      </c>
    </row>
    <row r="138" spans="1:13" s="71" customFormat="1" ht="12.75" customHeight="1" outlineLevel="1">
      <c r="A138" s="169"/>
      <c r="B138" s="169"/>
      <c r="C138" s="169"/>
      <c r="D138" s="192" t="s">
        <v>144</v>
      </c>
      <c r="E138" s="171">
        <v>50236</v>
      </c>
      <c r="F138" s="182">
        <v>6.3750000000000001E-2</v>
      </c>
      <c r="G138" s="182"/>
      <c r="H138" s="182"/>
      <c r="I138" s="179">
        <v>6.6751400000000002E-2</v>
      </c>
      <c r="J138" s="179"/>
      <c r="K138" s="173">
        <v>115000</v>
      </c>
      <c r="L138" s="189">
        <v>115000</v>
      </c>
      <c r="M138" s="190">
        <f t="shared" si="23"/>
        <v>1</v>
      </c>
    </row>
    <row r="139" spans="1:13" s="71" customFormat="1" ht="12.75" customHeight="1" outlineLevel="1">
      <c r="A139" s="169"/>
      <c r="B139" s="169"/>
      <c r="C139" s="169"/>
      <c r="D139" s="192" t="s">
        <v>140</v>
      </c>
      <c r="E139" s="171">
        <v>52032</v>
      </c>
      <c r="F139" s="182">
        <v>7.1249999999999994E-2</v>
      </c>
      <c r="G139" s="182"/>
      <c r="H139" s="182"/>
      <c r="I139" s="179">
        <v>7.1739200000000003E-2</v>
      </c>
      <c r="J139" s="179"/>
      <c r="K139" s="173">
        <v>480000</v>
      </c>
      <c r="L139" s="189">
        <v>351000</v>
      </c>
      <c r="M139" s="190">
        <f t="shared" si="23"/>
        <v>1.3675213675213675</v>
      </c>
    </row>
    <row r="140" spans="1:13" s="71" customFormat="1" ht="12.75" customHeight="1" outlineLevel="1">
      <c r="A140" s="169"/>
      <c r="B140" s="169"/>
      <c r="C140" s="169"/>
      <c r="D140" s="192" t="s">
        <v>137</v>
      </c>
      <c r="E140" s="171">
        <v>55380</v>
      </c>
      <c r="F140" s="182">
        <v>6.8750000000000006E-2</v>
      </c>
      <c r="G140" s="182"/>
      <c r="H140" s="182"/>
      <c r="I140" s="179">
        <v>7.0156899999999994E-2</v>
      </c>
      <c r="J140" s="179"/>
      <c r="K140" s="173">
        <v>25000</v>
      </c>
      <c r="L140" s="189">
        <v>25000</v>
      </c>
      <c r="M140" s="190">
        <f t="shared" si="23"/>
        <v>1</v>
      </c>
    </row>
    <row r="141" spans="1:13" s="196" customFormat="1" ht="12.75" customHeight="1" outlineLevel="1">
      <c r="A141" s="291" t="s">
        <v>121</v>
      </c>
      <c r="B141" s="292"/>
      <c r="C141" s="292"/>
      <c r="D141" s="292"/>
      <c r="E141" s="292"/>
      <c r="F141" s="292"/>
      <c r="G141" s="292"/>
      <c r="H141" s="292"/>
      <c r="I141" s="292"/>
      <c r="J141" s="293"/>
      <c r="K141" s="194">
        <f>SUM(K136:K140)</f>
        <v>3981900</v>
      </c>
      <c r="L141" s="194">
        <f>SUM(L136:L140)</f>
        <v>2950000</v>
      </c>
      <c r="M141" s="195"/>
    </row>
    <row r="142" spans="1:13" s="180" customFormat="1" ht="12.75" customHeight="1">
      <c r="A142" s="294" t="s">
        <v>163</v>
      </c>
      <c r="B142" s="295"/>
      <c r="C142" s="295"/>
      <c r="D142" s="295"/>
      <c r="E142" s="295"/>
      <c r="F142" s="295"/>
      <c r="G142" s="295"/>
      <c r="H142" s="295"/>
      <c r="I142" s="295"/>
      <c r="J142" s="296"/>
      <c r="K142" s="193">
        <f>SUM(K77,K81,K86,K93,K95,K103,K112,K118,K120,K122,K127,K135,K141,K105)</f>
        <v>237776352</v>
      </c>
      <c r="L142" s="193">
        <f>SUM(L77,L81,L86,L93,L95,L103,L112,L118,L120,L122,L127,L135,L141,L105)</f>
        <v>118052152</v>
      </c>
      <c r="M142" s="181"/>
    </row>
    <row r="143" spans="1:13" s="180" customFormat="1" ht="12.75" customHeight="1">
      <c r="A143" s="294" t="s">
        <v>173</v>
      </c>
      <c r="B143" s="295"/>
      <c r="C143" s="295"/>
      <c r="D143" s="295"/>
      <c r="E143" s="295"/>
      <c r="F143" s="295"/>
      <c r="G143" s="295"/>
      <c r="H143" s="295"/>
      <c r="I143" s="295"/>
      <c r="J143" s="296"/>
      <c r="K143" s="193">
        <f>SUM(K69,K142)</f>
        <v>730641454</v>
      </c>
      <c r="L143" s="193">
        <f>SUM(L69,L142)</f>
        <v>283117954</v>
      </c>
      <c r="M143" s="181"/>
    </row>
    <row r="144" spans="1:13" s="71" customFormat="1" ht="12.75" customHeight="1" outlineLevel="1">
      <c r="A144" s="178">
        <v>44656</v>
      </c>
      <c r="B144" s="178">
        <v>44658</v>
      </c>
      <c r="C144" s="174" t="s">
        <v>136</v>
      </c>
      <c r="D144" s="192" t="s">
        <v>176</v>
      </c>
      <c r="E144" s="171">
        <v>44754</v>
      </c>
      <c r="F144" s="182" t="s">
        <v>128</v>
      </c>
      <c r="G144" s="182">
        <v>2.29E-2</v>
      </c>
      <c r="H144" s="182">
        <v>2.9000000000000001E-2</v>
      </c>
      <c r="I144" s="218">
        <v>2.298E-2</v>
      </c>
      <c r="J144" s="218">
        <v>2.3099999999999999E-2</v>
      </c>
      <c r="K144" s="197">
        <v>8245000</v>
      </c>
      <c r="L144" s="219">
        <v>2000000</v>
      </c>
      <c r="M144" s="190">
        <f t="shared" ref="M144:M149" si="24">IF(L144=0,0,K144/L144)</f>
        <v>4.1224999999999996</v>
      </c>
    </row>
    <row r="145" spans="1:13" s="71" customFormat="1" ht="12.75" customHeight="1" outlineLevel="1">
      <c r="A145" s="178"/>
      <c r="B145" s="171"/>
      <c r="C145" s="174"/>
      <c r="D145" s="192" t="s">
        <v>145</v>
      </c>
      <c r="E145" s="171">
        <v>45488</v>
      </c>
      <c r="F145" s="182">
        <v>0.04</v>
      </c>
      <c r="G145" s="182">
        <v>4.4400000000000002E-2</v>
      </c>
      <c r="H145" s="182">
        <v>4.99E-2</v>
      </c>
      <c r="I145" s="182">
        <v>4.5434299999999997E-2</v>
      </c>
      <c r="J145" s="182">
        <v>4.6300000000000001E-2</v>
      </c>
      <c r="K145" s="198">
        <v>3456000</v>
      </c>
      <c r="L145" s="198">
        <v>2850000</v>
      </c>
      <c r="M145" s="190">
        <f t="shared" si="24"/>
        <v>1.2126315789473685</v>
      </c>
    </row>
    <row r="146" spans="1:13" s="71" customFormat="1" ht="12.75" customHeight="1" outlineLevel="1">
      <c r="A146" s="169"/>
      <c r="B146" s="169"/>
      <c r="C146" s="169"/>
      <c r="D146" s="192" t="s">
        <v>146</v>
      </c>
      <c r="E146" s="171">
        <v>46218</v>
      </c>
      <c r="F146" s="182">
        <v>4.8750000000000002E-2</v>
      </c>
      <c r="G146" s="182">
        <v>0.05</v>
      </c>
      <c r="H146" s="182">
        <v>5.4899999999999997E-2</v>
      </c>
      <c r="I146" s="182">
        <v>5.0675699999999997E-2</v>
      </c>
      <c r="J146" s="182">
        <v>5.0900000000000001E-2</v>
      </c>
      <c r="K146" s="198">
        <v>821000</v>
      </c>
      <c r="L146" s="198">
        <v>250000</v>
      </c>
      <c r="M146" s="190">
        <f t="shared" si="24"/>
        <v>3.2839999999999998</v>
      </c>
    </row>
    <row r="147" spans="1:13" s="71" customFormat="1" ht="12.75" customHeight="1" outlineLevel="1">
      <c r="A147" s="169"/>
      <c r="B147" s="169"/>
      <c r="C147" s="169"/>
      <c r="D147" s="192" t="s">
        <v>147</v>
      </c>
      <c r="E147" s="171">
        <v>49018</v>
      </c>
      <c r="F147" s="182">
        <v>6.3750000000000001E-2</v>
      </c>
      <c r="G147" s="182">
        <v>6.5000000000000002E-2</v>
      </c>
      <c r="H147" s="182">
        <v>7.1900000000000006E-2</v>
      </c>
      <c r="I147" s="182">
        <v>6.5724199999999997E-2</v>
      </c>
      <c r="J147" s="182">
        <v>6.6000000000000003E-2</v>
      </c>
      <c r="K147" s="198">
        <v>1890000</v>
      </c>
      <c r="L147" s="198">
        <v>750000</v>
      </c>
      <c r="M147" s="190">
        <f t="shared" si="24"/>
        <v>2.52</v>
      </c>
    </row>
    <row r="148" spans="1:13" s="71" customFormat="1" ht="12.75" customHeight="1" outlineLevel="1">
      <c r="A148" s="169"/>
      <c r="B148" s="169"/>
      <c r="C148" s="169"/>
      <c r="D148" s="192" t="s">
        <v>149</v>
      </c>
      <c r="E148" s="171">
        <v>50936</v>
      </c>
      <c r="F148" s="182">
        <v>6.5000000000000002E-2</v>
      </c>
      <c r="G148" s="182">
        <v>6.6299999999999998E-2</v>
      </c>
      <c r="H148" s="182">
        <v>6.9900000000000004E-2</v>
      </c>
      <c r="I148" s="182">
        <v>6.7276500000000003E-2</v>
      </c>
      <c r="J148" s="182">
        <v>6.7599999999999993E-2</v>
      </c>
      <c r="K148" s="198">
        <v>2541000</v>
      </c>
      <c r="L148" s="198">
        <v>2050000</v>
      </c>
      <c r="M148" s="190">
        <f t="shared" si="24"/>
        <v>1.2395121951219512</v>
      </c>
    </row>
    <row r="149" spans="1:13" s="71" customFormat="1" ht="12.75" customHeight="1" outlineLevel="1">
      <c r="A149" s="169"/>
      <c r="B149" s="169"/>
      <c r="C149" s="169"/>
      <c r="D149" s="192" t="s">
        <v>150</v>
      </c>
      <c r="E149" s="171">
        <v>53858</v>
      </c>
      <c r="F149" s="182">
        <v>6.7500000000000004E-2</v>
      </c>
      <c r="G149" s="182">
        <v>6.83E-2</v>
      </c>
      <c r="H149" s="182">
        <v>7.0900000000000005E-2</v>
      </c>
      <c r="I149" s="182">
        <v>6.8560300000000005E-2</v>
      </c>
      <c r="J149" s="182">
        <v>6.9000000000000006E-2</v>
      </c>
      <c r="K149" s="198">
        <v>1151100</v>
      </c>
      <c r="L149" s="198">
        <v>250000</v>
      </c>
      <c r="M149" s="190">
        <f t="shared" si="24"/>
        <v>4.6044</v>
      </c>
    </row>
    <row r="150" spans="1:13" s="196" customFormat="1" ht="12.75" customHeight="1" outlineLevel="1">
      <c r="A150" s="297" t="s">
        <v>121</v>
      </c>
      <c r="B150" s="298"/>
      <c r="C150" s="298"/>
      <c r="D150" s="298"/>
      <c r="E150" s="298"/>
      <c r="F150" s="298"/>
      <c r="G150" s="298"/>
      <c r="H150" s="298"/>
      <c r="I150" s="298"/>
      <c r="J150" s="299"/>
      <c r="K150" s="199">
        <f>SUM(K144:K149)</f>
        <v>18104100</v>
      </c>
      <c r="L150" s="199">
        <f>SUM(L144:L149)</f>
        <v>8150000</v>
      </c>
      <c r="M150" s="195"/>
    </row>
    <row r="151" spans="1:13" s="71" customFormat="1" ht="12.75" customHeight="1" outlineLevel="1">
      <c r="A151" s="178">
        <v>44663</v>
      </c>
      <c r="B151" s="178">
        <v>44665</v>
      </c>
      <c r="C151" s="174" t="s">
        <v>136</v>
      </c>
      <c r="D151" s="192" t="s">
        <v>184</v>
      </c>
      <c r="E151" s="171">
        <v>44755</v>
      </c>
      <c r="F151" s="182" t="s">
        <v>128</v>
      </c>
      <c r="G151" s="182">
        <v>2.1700000000000001E-2</v>
      </c>
      <c r="H151" s="182">
        <v>2.5499999999999998E-2</v>
      </c>
      <c r="I151" s="179">
        <v>2.3043999999999999E-2</v>
      </c>
      <c r="J151" s="179">
        <v>2.35E-2</v>
      </c>
      <c r="K151" s="173">
        <v>3605000</v>
      </c>
      <c r="L151" s="184">
        <v>1000000</v>
      </c>
      <c r="M151" s="188">
        <f>IF(L151=0,0,K151/L151)</f>
        <v>3.605</v>
      </c>
    </row>
    <row r="152" spans="1:13" s="71" customFormat="1" ht="12.75" customHeight="1" outlineLevel="1">
      <c r="A152" s="178"/>
      <c r="B152" s="171"/>
      <c r="C152" s="174"/>
      <c r="D152" s="192" t="s">
        <v>185</v>
      </c>
      <c r="E152" s="171">
        <v>45029</v>
      </c>
      <c r="F152" s="182" t="s">
        <v>128</v>
      </c>
      <c r="G152" s="182">
        <v>2.5999999999999999E-2</v>
      </c>
      <c r="H152" s="182">
        <v>2.8299999999999999E-2</v>
      </c>
      <c r="I152" s="182">
        <v>2.7666300000000001E-2</v>
      </c>
      <c r="J152" s="179">
        <v>2.8299999999999999E-2</v>
      </c>
      <c r="K152" s="173">
        <v>17325000</v>
      </c>
      <c r="L152" s="184">
        <v>3350000</v>
      </c>
      <c r="M152" s="183">
        <f t="shared" ref="M152:M157" si="25">IF(L152=0,0,K152/L152)</f>
        <v>5.1716417910447765</v>
      </c>
    </row>
    <row r="153" spans="1:13" s="71" customFormat="1" ht="12.75" customHeight="1" outlineLevel="1">
      <c r="A153" s="169"/>
      <c r="B153" s="169"/>
      <c r="C153" s="169"/>
      <c r="D153" s="192" t="s">
        <v>138</v>
      </c>
      <c r="E153" s="171">
        <v>46492</v>
      </c>
      <c r="F153" s="182">
        <v>5.1249999999999997E-2</v>
      </c>
      <c r="G153" s="182">
        <v>5.7500000000000002E-2</v>
      </c>
      <c r="H153" s="182">
        <v>0.06</v>
      </c>
      <c r="I153" s="179">
        <v>5.7998599999999997E-2</v>
      </c>
      <c r="J153" s="179">
        <v>5.8200000000000002E-2</v>
      </c>
      <c r="K153" s="173">
        <v>2537000</v>
      </c>
      <c r="L153" s="184">
        <v>350000</v>
      </c>
      <c r="M153" s="183">
        <f t="shared" si="25"/>
        <v>7.2485714285714282</v>
      </c>
    </row>
    <row r="154" spans="1:13" s="71" customFormat="1" ht="12.75" customHeight="1" outlineLevel="1">
      <c r="A154" s="169"/>
      <c r="B154" s="169"/>
      <c r="C154" s="169"/>
      <c r="D154" s="192" t="s">
        <v>139</v>
      </c>
      <c r="E154" s="171">
        <v>48319</v>
      </c>
      <c r="F154" s="182">
        <v>6.3750000000000001E-2</v>
      </c>
      <c r="G154" s="182">
        <v>6.7500000000000004E-2</v>
      </c>
      <c r="H154" s="182">
        <v>7.0699999999999999E-2</v>
      </c>
      <c r="I154" s="179">
        <v>6.8899600000000005E-2</v>
      </c>
      <c r="J154" s="179">
        <v>6.9099999999999995E-2</v>
      </c>
      <c r="K154" s="173">
        <v>9213800</v>
      </c>
      <c r="L154" s="189">
        <v>3550000</v>
      </c>
      <c r="M154" s="190">
        <f t="shared" si="25"/>
        <v>2.5954366197183099</v>
      </c>
    </row>
    <row r="155" spans="1:13" s="71" customFormat="1" ht="12.75" customHeight="1" outlineLevel="1">
      <c r="A155" s="169"/>
      <c r="B155" s="169"/>
      <c r="C155" s="169"/>
      <c r="D155" s="192" t="s">
        <v>144</v>
      </c>
      <c r="E155" s="171">
        <v>50236</v>
      </c>
      <c r="F155" s="182">
        <v>6.3750000000000001E-2</v>
      </c>
      <c r="G155" s="182">
        <v>6.6699999999999995E-2</v>
      </c>
      <c r="H155" s="182">
        <v>6.9500000000000006E-2</v>
      </c>
      <c r="I155" s="179">
        <v>6.7402500000000004E-2</v>
      </c>
      <c r="J155" s="179">
        <v>6.8099999999999994E-2</v>
      </c>
      <c r="K155" s="173">
        <v>870300</v>
      </c>
      <c r="L155" s="189">
        <v>200000</v>
      </c>
      <c r="M155" s="190">
        <f t="shared" si="25"/>
        <v>4.3514999999999997</v>
      </c>
    </row>
    <row r="156" spans="1:13" s="71" customFormat="1" ht="12.75" customHeight="1" outlineLevel="1">
      <c r="A156" s="169"/>
      <c r="B156" s="169"/>
      <c r="C156" s="169"/>
      <c r="D156" s="192" t="s">
        <v>140</v>
      </c>
      <c r="E156" s="171">
        <v>52032</v>
      </c>
      <c r="F156" s="182">
        <v>7.1249999999999994E-2</v>
      </c>
      <c r="G156" s="182">
        <v>7.1499999999999994E-2</v>
      </c>
      <c r="H156" s="182">
        <v>7.4999999999999997E-2</v>
      </c>
      <c r="I156" s="179">
        <v>7.2295399999999996E-2</v>
      </c>
      <c r="J156" s="179">
        <v>7.2499999999999995E-2</v>
      </c>
      <c r="K156" s="173">
        <v>6525200</v>
      </c>
      <c r="L156" s="189">
        <v>2600000</v>
      </c>
      <c r="M156" s="190">
        <f t="shared" si="25"/>
        <v>2.5096923076923079</v>
      </c>
    </row>
    <row r="157" spans="1:13" s="71" customFormat="1" ht="12.75" customHeight="1" outlineLevel="1">
      <c r="A157" s="169"/>
      <c r="B157" s="169"/>
      <c r="C157" s="169"/>
      <c r="D157" s="192" t="s">
        <v>137</v>
      </c>
      <c r="E157" s="171">
        <v>55380</v>
      </c>
      <c r="F157" s="182">
        <v>6.8750000000000006E-2</v>
      </c>
      <c r="G157" s="182">
        <v>7.0499999999999993E-2</v>
      </c>
      <c r="H157" s="182">
        <v>7.1999999999999995E-2</v>
      </c>
      <c r="I157" s="179" t="s">
        <v>130</v>
      </c>
      <c r="J157" s="179" t="s">
        <v>130</v>
      </c>
      <c r="K157" s="173">
        <v>208600</v>
      </c>
      <c r="L157" s="189">
        <v>0</v>
      </c>
      <c r="M157" s="190">
        <f t="shared" si="25"/>
        <v>0</v>
      </c>
    </row>
    <row r="158" spans="1:13" s="196" customFormat="1" ht="12.75" customHeight="1" outlineLevel="1">
      <c r="A158" s="291" t="s">
        <v>121</v>
      </c>
      <c r="B158" s="292"/>
      <c r="C158" s="292"/>
      <c r="D158" s="292"/>
      <c r="E158" s="292"/>
      <c r="F158" s="292"/>
      <c r="G158" s="292"/>
      <c r="H158" s="292"/>
      <c r="I158" s="292"/>
      <c r="J158" s="293"/>
      <c r="K158" s="194">
        <f>SUM(K151:K157)</f>
        <v>40284900</v>
      </c>
      <c r="L158" s="194">
        <f>SUM(L151:L157)</f>
        <v>11050000</v>
      </c>
      <c r="M158" s="195"/>
    </row>
    <row r="159" spans="1:13" s="71" customFormat="1" ht="12.75" customHeight="1" outlineLevel="1">
      <c r="A159" s="178">
        <v>44664</v>
      </c>
      <c r="B159" s="178">
        <v>44665</v>
      </c>
      <c r="C159" s="174" t="s">
        <v>183</v>
      </c>
      <c r="D159" s="192" t="s">
        <v>138</v>
      </c>
      <c r="E159" s="171">
        <v>46492</v>
      </c>
      <c r="F159" s="182">
        <v>5.1249999999999997E-2</v>
      </c>
      <c r="G159" s="182"/>
      <c r="H159" s="182"/>
      <c r="I159" s="179">
        <v>5.7998599999999997E-2</v>
      </c>
      <c r="J159" s="179"/>
      <c r="K159" s="173">
        <v>212000</v>
      </c>
      <c r="L159" s="173">
        <v>212000</v>
      </c>
      <c r="M159" s="183">
        <f t="shared" ref="M159:M162" si="26">IF(L159=0,0,K159/L159)</f>
        <v>1</v>
      </c>
    </row>
    <row r="160" spans="1:13" s="71" customFormat="1" ht="12.75" customHeight="1" outlineLevel="1">
      <c r="A160" s="169"/>
      <c r="B160" s="169"/>
      <c r="C160" s="169"/>
      <c r="D160" s="192" t="s">
        <v>139</v>
      </c>
      <c r="E160" s="171">
        <v>48319</v>
      </c>
      <c r="F160" s="182">
        <v>6.3750000000000001E-2</v>
      </c>
      <c r="G160" s="182"/>
      <c r="H160" s="182"/>
      <c r="I160" s="179">
        <v>6.8899600000000005E-2</v>
      </c>
      <c r="J160" s="179"/>
      <c r="K160" s="173">
        <v>5771300</v>
      </c>
      <c r="L160" s="173">
        <v>5771300</v>
      </c>
      <c r="M160" s="190">
        <f t="shared" si="26"/>
        <v>1</v>
      </c>
    </row>
    <row r="161" spans="1:15" s="71" customFormat="1" ht="12.75" customHeight="1" outlineLevel="1">
      <c r="A161" s="169"/>
      <c r="B161" s="169"/>
      <c r="C161" s="169"/>
      <c r="D161" s="192" t="s">
        <v>144</v>
      </c>
      <c r="E161" s="171">
        <v>50236</v>
      </c>
      <c r="F161" s="182">
        <v>6.3750000000000001E-2</v>
      </c>
      <c r="G161" s="182"/>
      <c r="H161" s="182"/>
      <c r="I161" s="179">
        <v>6.7402500000000004E-2</v>
      </c>
      <c r="J161" s="179"/>
      <c r="K161" s="173">
        <v>0</v>
      </c>
      <c r="L161" s="173">
        <v>0</v>
      </c>
      <c r="M161" s="190">
        <f t="shared" si="26"/>
        <v>0</v>
      </c>
    </row>
    <row r="162" spans="1:15" s="71" customFormat="1" ht="12.75" customHeight="1" outlineLevel="1">
      <c r="A162" s="169"/>
      <c r="B162" s="169"/>
      <c r="C162" s="169"/>
      <c r="D162" s="192" t="s">
        <v>140</v>
      </c>
      <c r="E162" s="171">
        <v>52032</v>
      </c>
      <c r="F162" s="182">
        <v>7.1249999999999994E-2</v>
      </c>
      <c r="G162" s="182"/>
      <c r="H162" s="182"/>
      <c r="I162" s="179">
        <v>7.2295399999999996E-2</v>
      </c>
      <c r="J162" s="179"/>
      <c r="K162" s="173">
        <v>2474400</v>
      </c>
      <c r="L162" s="173">
        <v>2474400</v>
      </c>
      <c r="M162" s="190">
        <f t="shared" si="26"/>
        <v>1</v>
      </c>
    </row>
    <row r="163" spans="1:15" s="196" customFormat="1" ht="12.75" customHeight="1" outlineLevel="1">
      <c r="A163" s="291" t="s">
        <v>121</v>
      </c>
      <c r="B163" s="292"/>
      <c r="C163" s="292"/>
      <c r="D163" s="292"/>
      <c r="E163" s="292"/>
      <c r="F163" s="292"/>
      <c r="G163" s="292"/>
      <c r="H163" s="292"/>
      <c r="I163" s="292"/>
      <c r="J163" s="293"/>
      <c r="K163" s="194">
        <f>SUM(K159:K162)</f>
        <v>8457700</v>
      </c>
      <c r="L163" s="194">
        <f>SUM(L159:L162)</f>
        <v>8457700</v>
      </c>
      <c r="M163" s="195"/>
    </row>
    <row r="164" spans="1:15" s="213" customFormat="1" ht="17.25" customHeight="1" outlineLevel="1">
      <c r="A164" s="204">
        <v>44669</v>
      </c>
      <c r="B164" s="204">
        <v>44672</v>
      </c>
      <c r="C164" s="205" t="s">
        <v>166</v>
      </c>
      <c r="D164" s="206" t="s">
        <v>167</v>
      </c>
      <c r="E164" s="207">
        <v>46767</v>
      </c>
      <c r="F164" s="279">
        <v>5.6000000000000001E-2</v>
      </c>
      <c r="G164" s="209" t="s">
        <v>130</v>
      </c>
      <c r="H164" s="209" t="s">
        <v>130</v>
      </c>
      <c r="I164" s="210">
        <v>0.06</v>
      </c>
      <c r="J164" s="209" t="s">
        <v>130</v>
      </c>
      <c r="K164" s="211">
        <v>351162</v>
      </c>
      <c r="L164" s="211">
        <v>351162</v>
      </c>
      <c r="M164" s="212">
        <f t="shared" ref="M164" si="27">IF(L164=0,0,K164/L164)</f>
        <v>1</v>
      </c>
      <c r="O164" s="216"/>
    </row>
    <row r="165" spans="1:15" s="71" customFormat="1" ht="12.75" customHeight="1" outlineLevel="1">
      <c r="A165" s="169"/>
      <c r="B165" s="171"/>
      <c r="C165" s="174"/>
      <c r="D165" s="192" t="s">
        <v>233</v>
      </c>
      <c r="E165" s="171">
        <v>48228</v>
      </c>
      <c r="F165" s="182">
        <v>0.03</v>
      </c>
      <c r="G165" s="182"/>
      <c r="H165" s="182"/>
      <c r="I165" s="179">
        <v>3.6499999999999998E-2</v>
      </c>
      <c r="J165" s="179"/>
      <c r="K165" s="189" t="s">
        <v>277</v>
      </c>
      <c r="L165" s="189" t="s">
        <v>277</v>
      </c>
      <c r="M165" s="190"/>
    </row>
    <row r="166" spans="1:15" s="71" customFormat="1" ht="12.75" customHeight="1" outlineLevel="1">
      <c r="A166" s="169"/>
      <c r="B166" s="169"/>
      <c r="C166" s="174"/>
      <c r="D166" s="192"/>
      <c r="E166" s="171"/>
      <c r="F166" s="182"/>
      <c r="G166" s="182"/>
      <c r="H166" s="182"/>
      <c r="I166" s="179"/>
      <c r="J166" s="179"/>
      <c r="K166" s="189">
        <v>76552</v>
      </c>
      <c r="L166" s="189">
        <v>76552</v>
      </c>
      <c r="M166" s="190"/>
    </row>
    <row r="167" spans="1:15" s="215" customFormat="1" ht="13.5" customHeight="1" outlineLevel="1">
      <c r="A167" s="288" t="s">
        <v>121</v>
      </c>
      <c r="B167" s="289"/>
      <c r="C167" s="289"/>
      <c r="D167" s="289"/>
      <c r="E167" s="289"/>
      <c r="F167" s="289"/>
      <c r="G167" s="289"/>
      <c r="H167" s="289"/>
      <c r="I167" s="289"/>
      <c r="J167" s="290"/>
      <c r="K167" s="214">
        <f>SUM(K164,K166)</f>
        <v>427714</v>
      </c>
      <c r="L167" s="214">
        <f>SUM(L164,L166)</f>
        <v>427714</v>
      </c>
      <c r="M167" s="214"/>
    </row>
    <row r="168" spans="1:15" s="71" customFormat="1" ht="12.75" customHeight="1" outlineLevel="1">
      <c r="A168" s="178">
        <v>44670</v>
      </c>
      <c r="B168" s="178">
        <v>44672</v>
      </c>
      <c r="C168" s="174" t="s">
        <v>136</v>
      </c>
      <c r="D168" s="192" t="s">
        <v>176</v>
      </c>
      <c r="E168" s="171">
        <v>44754</v>
      </c>
      <c r="F168" s="182" t="s">
        <v>128</v>
      </c>
      <c r="G168" s="182">
        <v>2.5000000000000001E-2</v>
      </c>
      <c r="H168" s="182">
        <v>2.5999999999999999E-2</v>
      </c>
      <c r="I168" s="218" t="s">
        <v>130</v>
      </c>
      <c r="J168" s="218" t="s">
        <v>130</v>
      </c>
      <c r="K168" s="197">
        <v>351000</v>
      </c>
      <c r="L168" s="219" t="s">
        <v>130</v>
      </c>
      <c r="M168" s="220" t="s">
        <v>130</v>
      </c>
    </row>
    <row r="169" spans="1:15" s="71" customFormat="1" ht="12.75" customHeight="1" outlineLevel="1">
      <c r="A169" s="178"/>
      <c r="B169" s="171"/>
      <c r="C169" s="174"/>
      <c r="D169" s="192" t="s">
        <v>145</v>
      </c>
      <c r="E169" s="171">
        <v>45488</v>
      </c>
      <c r="F169" s="182">
        <v>0.04</v>
      </c>
      <c r="G169" s="182">
        <v>4.7500000000000001E-2</v>
      </c>
      <c r="H169" s="182">
        <v>5.3499999999999999E-2</v>
      </c>
      <c r="I169" s="182">
        <v>4.8332699999999999E-2</v>
      </c>
      <c r="J169" s="182">
        <v>4.9000000000000002E-2</v>
      </c>
      <c r="K169" s="198">
        <v>2679500</v>
      </c>
      <c r="L169" s="198">
        <v>1550000</v>
      </c>
      <c r="M169" s="190">
        <f t="shared" ref="M169:M173" si="28">IF(L169=0,0,K169/L169)</f>
        <v>1.7287096774193549</v>
      </c>
    </row>
    <row r="170" spans="1:15" s="71" customFormat="1" ht="12.75" customHeight="1" outlineLevel="1">
      <c r="A170" s="169"/>
      <c r="B170" s="169"/>
      <c r="C170" s="169"/>
      <c r="D170" s="192" t="s">
        <v>146</v>
      </c>
      <c r="E170" s="171">
        <v>46218</v>
      </c>
      <c r="F170" s="182">
        <v>4.8750000000000002E-2</v>
      </c>
      <c r="G170" s="182">
        <v>5.0799999999999998E-2</v>
      </c>
      <c r="H170" s="182">
        <v>5.9900000000000002E-2</v>
      </c>
      <c r="I170" s="182">
        <v>5.1786600000000002E-2</v>
      </c>
      <c r="J170" s="182">
        <v>5.2699999999999997E-2</v>
      </c>
      <c r="K170" s="198">
        <v>332000</v>
      </c>
      <c r="L170" s="198">
        <v>150000</v>
      </c>
      <c r="M170" s="190">
        <f t="shared" si="28"/>
        <v>2.2133333333333334</v>
      </c>
    </row>
    <row r="171" spans="1:15" s="71" customFormat="1" ht="12.75" customHeight="1" outlineLevel="1">
      <c r="A171" s="169"/>
      <c r="B171" s="169"/>
      <c r="C171" s="169"/>
      <c r="D171" s="71" t="s">
        <v>156</v>
      </c>
      <c r="E171" s="171">
        <v>46949</v>
      </c>
      <c r="F171" s="182">
        <v>5.8749999999999997E-2</v>
      </c>
      <c r="G171" s="182">
        <v>6.0499999999999998E-2</v>
      </c>
      <c r="H171" s="182">
        <v>6.8900000000000003E-2</v>
      </c>
      <c r="I171" s="182">
        <v>6.0499999999999998E-2</v>
      </c>
      <c r="J171" s="182">
        <v>6.0499999999999998E-2</v>
      </c>
      <c r="K171" s="198">
        <v>379000</v>
      </c>
      <c r="L171" s="198">
        <v>10000</v>
      </c>
      <c r="M171" s="190">
        <f t="shared" si="28"/>
        <v>37.9</v>
      </c>
    </row>
    <row r="172" spans="1:15" s="71" customFormat="1" ht="12.75" customHeight="1" outlineLevel="1">
      <c r="A172" s="169"/>
      <c r="B172" s="169"/>
      <c r="C172" s="169"/>
      <c r="D172" s="192" t="s">
        <v>147</v>
      </c>
      <c r="E172" s="171">
        <v>49018</v>
      </c>
      <c r="F172" s="182">
        <v>6.3750000000000001E-2</v>
      </c>
      <c r="G172" s="182">
        <v>6.6100000000000006E-2</v>
      </c>
      <c r="H172" s="182">
        <v>7.1900000000000006E-2</v>
      </c>
      <c r="I172" s="182">
        <v>6.7000000000000004E-2</v>
      </c>
      <c r="J172" s="182">
        <v>6.7000000000000004E-2</v>
      </c>
      <c r="K172" s="198">
        <v>2558000</v>
      </c>
      <c r="L172" s="198">
        <v>200000</v>
      </c>
      <c r="M172" s="190">
        <f t="shared" si="28"/>
        <v>12.79</v>
      </c>
    </row>
    <row r="173" spans="1:15" s="71" customFormat="1" ht="12.75" customHeight="1" outlineLevel="1">
      <c r="A173" s="169"/>
      <c r="B173" s="169"/>
      <c r="C173" s="169"/>
      <c r="D173" s="192" t="s">
        <v>150</v>
      </c>
      <c r="E173" s="171">
        <v>53858</v>
      </c>
      <c r="F173" s="182">
        <v>6.7500000000000004E-2</v>
      </c>
      <c r="G173" s="182">
        <v>6.8500000000000005E-2</v>
      </c>
      <c r="H173" s="182">
        <v>7.2999999999999995E-2</v>
      </c>
      <c r="I173" s="182">
        <v>6.9500000000000006E-2</v>
      </c>
      <c r="J173" s="182">
        <v>6.9500000000000006E-2</v>
      </c>
      <c r="K173" s="198">
        <v>1238800</v>
      </c>
      <c r="L173" s="198">
        <v>100000</v>
      </c>
      <c r="M173" s="190">
        <f t="shared" si="28"/>
        <v>12.388</v>
      </c>
    </row>
    <row r="174" spans="1:15" s="196" customFormat="1" ht="12.75" customHeight="1" outlineLevel="1">
      <c r="A174" s="297" t="s">
        <v>121</v>
      </c>
      <c r="B174" s="298"/>
      <c r="C174" s="298"/>
      <c r="D174" s="298"/>
      <c r="E174" s="298"/>
      <c r="F174" s="298"/>
      <c r="G174" s="298"/>
      <c r="H174" s="298"/>
      <c r="I174" s="298"/>
      <c r="J174" s="299"/>
      <c r="K174" s="199">
        <f>SUM(K168:K173)</f>
        <v>7538300</v>
      </c>
      <c r="L174" s="199">
        <f>SUM(L168:L173)</f>
        <v>2010000</v>
      </c>
      <c r="M174" s="195"/>
    </row>
    <row r="175" spans="1:15" s="71" customFormat="1" ht="12.75" customHeight="1" outlineLevel="1">
      <c r="A175" s="178">
        <v>44671</v>
      </c>
      <c r="B175" s="178">
        <v>44672</v>
      </c>
      <c r="C175" s="174" t="s">
        <v>183</v>
      </c>
      <c r="D175" s="192" t="s">
        <v>145</v>
      </c>
      <c r="E175" s="171">
        <v>45488</v>
      </c>
      <c r="F175" s="182">
        <v>0.04</v>
      </c>
      <c r="G175" s="182">
        <v>4.7500000000000001E-2</v>
      </c>
      <c r="H175" s="218" t="s">
        <v>130</v>
      </c>
      <c r="I175" s="218" t="s">
        <v>130</v>
      </c>
      <c r="J175" s="218" t="s">
        <v>130</v>
      </c>
      <c r="K175" s="218" t="s">
        <v>130</v>
      </c>
      <c r="L175" s="218" t="s">
        <v>130</v>
      </c>
      <c r="M175" s="220" t="s">
        <v>130</v>
      </c>
    </row>
    <row r="176" spans="1:15" s="71" customFormat="1" ht="12.75" customHeight="1" outlineLevel="1">
      <c r="A176" s="178"/>
      <c r="B176" s="171"/>
      <c r="C176" s="174"/>
      <c r="D176" s="192" t="s">
        <v>146</v>
      </c>
      <c r="E176" s="171">
        <v>46218</v>
      </c>
      <c r="F176" s="182">
        <v>4.8750000000000002E-2</v>
      </c>
      <c r="G176" s="182">
        <v>5.0799999999999998E-2</v>
      </c>
      <c r="H176" s="218" t="s">
        <v>130</v>
      </c>
      <c r="I176" s="218" t="s">
        <v>130</v>
      </c>
      <c r="J176" s="218" t="s">
        <v>130</v>
      </c>
      <c r="K176" s="218" t="s">
        <v>130</v>
      </c>
      <c r="L176" s="218" t="s">
        <v>130</v>
      </c>
      <c r="M176" s="220" t="s">
        <v>130</v>
      </c>
    </row>
    <row r="177" spans="1:15" s="71" customFormat="1" ht="12.75" customHeight="1" outlineLevel="1">
      <c r="A177" s="169"/>
      <c r="B177" s="169"/>
      <c r="C177" s="169"/>
      <c r="D177" s="71" t="s">
        <v>156</v>
      </c>
      <c r="E177" s="171">
        <v>46949</v>
      </c>
      <c r="F177" s="182">
        <v>5.8749999999999997E-2</v>
      </c>
      <c r="G177" s="182">
        <v>6.0499999999999998E-2</v>
      </c>
      <c r="H177" s="218" t="s">
        <v>130</v>
      </c>
      <c r="I177" s="218" t="s">
        <v>130</v>
      </c>
      <c r="J177" s="218" t="s">
        <v>130</v>
      </c>
      <c r="K177" s="198">
        <v>42000</v>
      </c>
      <c r="L177" s="198">
        <v>42000</v>
      </c>
      <c r="M177" s="190">
        <f t="shared" ref="M177:M179" si="29">IF(L177=0,0,K177/L177)</f>
        <v>1</v>
      </c>
    </row>
    <row r="178" spans="1:15" s="71" customFormat="1" ht="12.75" customHeight="1" outlineLevel="1">
      <c r="A178" s="169"/>
      <c r="B178" s="169"/>
      <c r="C178" s="169"/>
      <c r="D178" s="192" t="s">
        <v>147</v>
      </c>
      <c r="E178" s="171">
        <v>49018</v>
      </c>
      <c r="F178" s="182">
        <v>6.3750000000000001E-2</v>
      </c>
      <c r="G178" s="182">
        <v>6.6100000000000006E-2</v>
      </c>
      <c r="H178" s="218" t="s">
        <v>130</v>
      </c>
      <c r="I178" s="218" t="s">
        <v>130</v>
      </c>
      <c r="J178" s="218" t="s">
        <v>130</v>
      </c>
      <c r="K178" s="198">
        <v>600000</v>
      </c>
      <c r="L178" s="198">
        <v>600000</v>
      </c>
      <c r="M178" s="190">
        <f t="shared" si="29"/>
        <v>1</v>
      </c>
    </row>
    <row r="179" spans="1:15" s="71" customFormat="1" ht="12.75" customHeight="1" outlineLevel="1">
      <c r="A179" s="169"/>
      <c r="B179" s="169"/>
      <c r="C179" s="169"/>
      <c r="D179" s="192" t="s">
        <v>150</v>
      </c>
      <c r="E179" s="171">
        <v>53858</v>
      </c>
      <c r="F179" s="182">
        <v>6.7500000000000004E-2</v>
      </c>
      <c r="G179" s="182">
        <v>6.8500000000000005E-2</v>
      </c>
      <c r="H179" s="218" t="s">
        <v>130</v>
      </c>
      <c r="I179" s="218" t="s">
        <v>130</v>
      </c>
      <c r="J179" s="218" t="s">
        <v>130</v>
      </c>
      <c r="K179" s="198">
        <v>600000</v>
      </c>
      <c r="L179" s="198">
        <v>600000</v>
      </c>
      <c r="M179" s="190">
        <f t="shared" si="29"/>
        <v>1</v>
      </c>
    </row>
    <row r="180" spans="1:15" s="196" customFormat="1" ht="12.75" customHeight="1" outlineLevel="1">
      <c r="A180" s="297" t="s">
        <v>121</v>
      </c>
      <c r="B180" s="298"/>
      <c r="C180" s="298"/>
      <c r="D180" s="298"/>
      <c r="E180" s="298"/>
      <c r="F180" s="298"/>
      <c r="G180" s="298"/>
      <c r="H180" s="298"/>
      <c r="I180" s="298"/>
      <c r="J180" s="299"/>
      <c r="K180" s="199">
        <f>SUM(K175:K179)</f>
        <v>1242000</v>
      </c>
      <c r="L180" s="199">
        <f>SUM(L175:L179)</f>
        <v>1242000</v>
      </c>
      <c r="M180" s="195"/>
    </row>
    <row r="181" spans="1:15" s="213" customFormat="1" ht="17.25" customHeight="1" outlineLevel="1">
      <c r="A181" s="204">
        <v>44673</v>
      </c>
      <c r="B181" s="204">
        <v>44676</v>
      </c>
      <c r="C181" s="205" t="s">
        <v>166</v>
      </c>
      <c r="D181" s="206" t="s">
        <v>150</v>
      </c>
      <c r="E181" s="207">
        <v>53858</v>
      </c>
      <c r="F181" s="208">
        <v>6.7500000000000004E-2</v>
      </c>
      <c r="G181" s="209" t="s">
        <v>130</v>
      </c>
      <c r="H181" s="209" t="s">
        <v>130</v>
      </c>
      <c r="I181" s="208">
        <v>6.7500000000000004E-2</v>
      </c>
      <c r="J181" s="209" t="s">
        <v>130</v>
      </c>
      <c r="K181" s="211">
        <v>4000000</v>
      </c>
      <c r="L181" s="211">
        <v>4000000</v>
      </c>
      <c r="M181" s="212">
        <f t="shared" ref="M181" si="30">IF(L181=0,0,K181/L181)</f>
        <v>1</v>
      </c>
      <c r="O181" s="216"/>
    </row>
    <row r="182" spans="1:15" s="196" customFormat="1" ht="12.75" customHeight="1" outlineLevel="1">
      <c r="A182" s="297" t="s">
        <v>121</v>
      </c>
      <c r="B182" s="298"/>
      <c r="C182" s="298"/>
      <c r="D182" s="298"/>
      <c r="E182" s="298"/>
      <c r="F182" s="298"/>
      <c r="G182" s="298"/>
      <c r="H182" s="298"/>
      <c r="I182" s="298"/>
      <c r="J182" s="299"/>
      <c r="K182" s="199">
        <f>SUM(K181)</f>
        <v>4000000</v>
      </c>
      <c r="L182" s="199">
        <f>SUM(L181)</f>
        <v>4000000</v>
      </c>
      <c r="M182" s="195"/>
    </row>
    <row r="183" spans="1:15" s="180" customFormat="1" ht="12.75" customHeight="1">
      <c r="A183" s="294" t="s">
        <v>177</v>
      </c>
      <c r="B183" s="295"/>
      <c r="C183" s="295"/>
      <c r="D183" s="295"/>
      <c r="E183" s="295"/>
      <c r="F183" s="295"/>
      <c r="G183" s="295"/>
      <c r="H183" s="295"/>
      <c r="I183" s="295"/>
      <c r="J183" s="296"/>
      <c r="K183" s="193">
        <f>SUM(K150,K158,K163,K174,K180,K182,K167)</f>
        <v>80054714</v>
      </c>
      <c r="L183" s="193">
        <f>SUM(L150,L158,L163,L174,L180,L182,L167)</f>
        <v>35337414</v>
      </c>
      <c r="M183" s="181"/>
    </row>
    <row r="184" spans="1:15" s="180" customFormat="1" ht="12.75" customHeight="1">
      <c r="A184" s="294" t="s">
        <v>188</v>
      </c>
      <c r="B184" s="295"/>
      <c r="C184" s="295"/>
      <c r="D184" s="295"/>
      <c r="E184" s="295"/>
      <c r="F184" s="295"/>
      <c r="G184" s="295"/>
      <c r="H184" s="295"/>
      <c r="I184" s="295"/>
      <c r="J184" s="296"/>
      <c r="K184" s="193">
        <f>SUM(K143,K183)</f>
        <v>810696168</v>
      </c>
      <c r="L184" s="193">
        <f>SUM(L143,L183)</f>
        <v>318455368</v>
      </c>
      <c r="M184" s="181"/>
    </row>
    <row r="185" spans="1:15" s="71" customFormat="1" ht="12.75" customHeight="1" outlineLevel="1">
      <c r="A185" s="178">
        <v>44691</v>
      </c>
      <c r="B185" s="178">
        <v>44693</v>
      </c>
      <c r="C185" s="174" t="s">
        <v>136</v>
      </c>
      <c r="D185" s="192" t="s">
        <v>187</v>
      </c>
      <c r="E185" s="171">
        <v>44783</v>
      </c>
      <c r="F185" s="182" t="s">
        <v>128</v>
      </c>
      <c r="G185" s="182">
        <v>2.4E-2</v>
      </c>
      <c r="H185" s="182">
        <v>3.9E-2</v>
      </c>
      <c r="I185" s="179">
        <v>2.4457699999999999E-2</v>
      </c>
      <c r="J185" s="179">
        <v>2.4500000000000001E-2</v>
      </c>
      <c r="K185" s="173">
        <v>3560000</v>
      </c>
      <c r="L185" s="184">
        <v>1900000</v>
      </c>
      <c r="M185" s="188">
        <f>IF(L185=0,0,K185/L185)</f>
        <v>1.8736842105263158</v>
      </c>
    </row>
    <row r="186" spans="1:15" s="71" customFormat="1" ht="12.75" customHeight="1" outlineLevel="1">
      <c r="A186" s="178"/>
      <c r="B186" s="171"/>
      <c r="C186" s="174"/>
      <c r="D186" s="192" t="s">
        <v>155</v>
      </c>
      <c r="E186" s="171">
        <v>44960</v>
      </c>
      <c r="F186" s="182" t="s">
        <v>128</v>
      </c>
      <c r="G186" s="182">
        <v>2.6200000000000001E-2</v>
      </c>
      <c r="H186" s="182">
        <v>0.05</v>
      </c>
      <c r="I186" s="182">
        <v>2.9134699999999999E-2</v>
      </c>
      <c r="J186" s="179">
        <v>0.03</v>
      </c>
      <c r="K186" s="173">
        <v>2595000</v>
      </c>
      <c r="L186" s="184">
        <v>2450000</v>
      </c>
      <c r="M186" s="183">
        <f t="shared" ref="M186:M191" si="31">IF(L186=0,0,K186/L186)</f>
        <v>1.0591836734693878</v>
      </c>
    </row>
    <row r="187" spans="1:15" s="71" customFormat="1" ht="12.75" customHeight="1" outlineLevel="1">
      <c r="A187" s="169"/>
      <c r="B187" s="169"/>
      <c r="C187" s="169"/>
      <c r="D187" s="192" t="s">
        <v>138</v>
      </c>
      <c r="E187" s="171">
        <v>46492</v>
      </c>
      <c r="F187" s="182">
        <v>5.1249999999999997E-2</v>
      </c>
      <c r="G187" s="182">
        <v>6.5699999999999995E-2</v>
      </c>
      <c r="H187" s="182">
        <v>7.1499999999999994E-2</v>
      </c>
      <c r="I187" s="179">
        <v>6.6250000000000003E-2</v>
      </c>
      <c r="J187" s="179">
        <v>6.6400000000000001E-2</v>
      </c>
      <c r="K187" s="173">
        <v>2919500</v>
      </c>
      <c r="L187" s="184">
        <v>10000</v>
      </c>
      <c r="M187" s="183">
        <f t="shared" si="31"/>
        <v>291.95</v>
      </c>
    </row>
    <row r="188" spans="1:15" s="71" customFormat="1" ht="12.75" customHeight="1" outlineLevel="1">
      <c r="A188" s="169"/>
      <c r="B188" s="169"/>
      <c r="C188" s="169"/>
      <c r="D188" s="192" t="s">
        <v>139</v>
      </c>
      <c r="E188" s="171">
        <v>48319</v>
      </c>
      <c r="F188" s="182">
        <v>6.3750000000000001E-2</v>
      </c>
      <c r="G188" s="182">
        <v>7.2099999999999997E-2</v>
      </c>
      <c r="H188" s="182">
        <v>7.9500000000000001E-2</v>
      </c>
      <c r="I188" s="179">
        <v>7.3291499999999996E-2</v>
      </c>
      <c r="J188" s="179">
        <v>7.3800000000000004E-2</v>
      </c>
      <c r="K188" s="173">
        <v>7849500</v>
      </c>
      <c r="L188" s="189">
        <v>2100000</v>
      </c>
      <c r="M188" s="190">
        <f t="shared" si="31"/>
        <v>3.737857142857143</v>
      </c>
    </row>
    <row r="189" spans="1:15" s="71" customFormat="1" ht="12.75" customHeight="1" outlineLevel="1">
      <c r="A189" s="169"/>
      <c r="B189" s="169"/>
      <c r="C189" s="169"/>
      <c r="D189" s="192" t="s">
        <v>144</v>
      </c>
      <c r="E189" s="171">
        <v>50236</v>
      </c>
      <c r="F189" s="182">
        <v>6.3750000000000001E-2</v>
      </c>
      <c r="G189" s="182">
        <v>7.1499999999999994E-2</v>
      </c>
      <c r="H189" s="182">
        <v>7.6899999999999996E-2</v>
      </c>
      <c r="I189" s="179">
        <v>7.1785699999999994E-2</v>
      </c>
      <c r="J189" s="179">
        <v>7.1800000000000003E-2</v>
      </c>
      <c r="K189" s="173">
        <v>381000</v>
      </c>
      <c r="L189" s="189">
        <v>150000</v>
      </c>
      <c r="M189" s="190">
        <f t="shared" si="31"/>
        <v>2.54</v>
      </c>
    </row>
    <row r="190" spans="1:15" s="71" customFormat="1" ht="12.75" customHeight="1" outlineLevel="1">
      <c r="A190" s="169"/>
      <c r="B190" s="169"/>
      <c r="C190" s="169"/>
      <c r="D190" s="192" t="s">
        <v>140</v>
      </c>
      <c r="E190" s="171">
        <v>52032</v>
      </c>
      <c r="F190" s="182">
        <v>7.1249999999999994E-2</v>
      </c>
      <c r="G190" s="182">
        <v>7.3599999999999999E-2</v>
      </c>
      <c r="H190" s="182">
        <v>7.7499999999999999E-2</v>
      </c>
      <c r="I190" s="179">
        <v>7.4589600000000006E-2</v>
      </c>
      <c r="J190" s="179">
        <v>7.51E-2</v>
      </c>
      <c r="K190" s="173">
        <v>2117800</v>
      </c>
      <c r="L190" s="189">
        <v>1150000</v>
      </c>
      <c r="M190" s="190">
        <f t="shared" si="31"/>
        <v>1.8415652173913044</v>
      </c>
    </row>
    <row r="191" spans="1:15" s="71" customFormat="1" ht="12.75" customHeight="1" outlineLevel="1">
      <c r="A191" s="169"/>
      <c r="B191" s="169"/>
      <c r="C191" s="169"/>
      <c r="D191" s="192" t="s">
        <v>137</v>
      </c>
      <c r="E191" s="171">
        <v>55380</v>
      </c>
      <c r="F191" s="182">
        <v>6.8750000000000006E-2</v>
      </c>
      <c r="G191" s="182">
        <v>7.2499999999999995E-2</v>
      </c>
      <c r="H191" s="182">
        <v>7.7899999999999997E-2</v>
      </c>
      <c r="I191" s="179" t="s">
        <v>130</v>
      </c>
      <c r="J191" s="179" t="s">
        <v>130</v>
      </c>
      <c r="K191" s="173">
        <v>318000</v>
      </c>
      <c r="L191" s="189">
        <v>0</v>
      </c>
      <c r="M191" s="190">
        <f t="shared" si="31"/>
        <v>0</v>
      </c>
    </row>
    <row r="192" spans="1:15" s="196" customFormat="1" ht="12.75" customHeight="1" outlineLevel="1">
      <c r="A192" s="291" t="s">
        <v>121</v>
      </c>
      <c r="B192" s="292"/>
      <c r="C192" s="292"/>
      <c r="D192" s="292"/>
      <c r="E192" s="292"/>
      <c r="F192" s="292"/>
      <c r="G192" s="292"/>
      <c r="H192" s="292"/>
      <c r="I192" s="292"/>
      <c r="J192" s="293"/>
      <c r="K192" s="194">
        <f>SUM(K185:K191)</f>
        <v>19740800</v>
      </c>
      <c r="L192" s="194">
        <f>SUM(L185:L191)</f>
        <v>7760000</v>
      </c>
      <c r="M192" s="195"/>
    </row>
    <row r="193" spans="1:15" s="71" customFormat="1" ht="12.75" customHeight="1" outlineLevel="1">
      <c r="A193" s="178">
        <v>44692</v>
      </c>
      <c r="B193" s="178">
        <v>44693</v>
      </c>
      <c r="C193" s="174" t="s">
        <v>183</v>
      </c>
      <c r="D193" s="192" t="s">
        <v>138</v>
      </c>
      <c r="E193" s="171">
        <v>46492</v>
      </c>
      <c r="F193" s="182">
        <v>5.1249999999999997E-2</v>
      </c>
      <c r="G193" s="182"/>
      <c r="H193" s="182"/>
      <c r="I193" s="179">
        <v>6.6250000000000003E-2</v>
      </c>
      <c r="J193" s="179"/>
      <c r="K193" s="173">
        <v>20000</v>
      </c>
      <c r="L193" s="173">
        <v>20000</v>
      </c>
      <c r="M193" s="183">
        <f t="shared" ref="M193:M196" si="32">IF(L193=0,0,K193/L193)</f>
        <v>1</v>
      </c>
    </row>
    <row r="194" spans="1:15" s="71" customFormat="1" ht="12.75" customHeight="1" outlineLevel="1">
      <c r="A194" s="169"/>
      <c r="B194" s="169"/>
      <c r="C194" s="169"/>
      <c r="D194" s="192" t="s">
        <v>139</v>
      </c>
      <c r="E194" s="171">
        <v>48319</v>
      </c>
      <c r="F194" s="182">
        <v>6.3750000000000001E-2</v>
      </c>
      <c r="G194" s="182"/>
      <c r="H194" s="182"/>
      <c r="I194" s="179">
        <v>7.3291499999999996E-2</v>
      </c>
      <c r="J194" s="179"/>
      <c r="K194" s="173">
        <v>1265000</v>
      </c>
      <c r="L194" s="173">
        <v>1265000</v>
      </c>
      <c r="M194" s="190">
        <f t="shared" si="32"/>
        <v>1</v>
      </c>
    </row>
    <row r="195" spans="1:15" s="71" customFormat="1" ht="12.75" customHeight="1" outlineLevel="1">
      <c r="A195" s="169"/>
      <c r="B195" s="169"/>
      <c r="C195" s="169"/>
      <c r="D195" s="192" t="s">
        <v>144</v>
      </c>
      <c r="E195" s="171">
        <v>50236</v>
      </c>
      <c r="F195" s="182">
        <v>6.3750000000000001E-2</v>
      </c>
      <c r="G195" s="182"/>
      <c r="H195" s="182"/>
      <c r="I195" s="179">
        <v>7.1785699999999994E-2</v>
      </c>
      <c r="J195" s="179"/>
      <c r="K195" s="173">
        <v>0</v>
      </c>
      <c r="L195" s="173">
        <v>0</v>
      </c>
      <c r="M195" s="190">
        <f t="shared" si="32"/>
        <v>0</v>
      </c>
    </row>
    <row r="196" spans="1:15" s="71" customFormat="1" ht="12.75" customHeight="1" outlineLevel="1">
      <c r="A196" s="169"/>
      <c r="B196" s="169"/>
      <c r="C196" s="169"/>
      <c r="D196" s="192" t="s">
        <v>140</v>
      </c>
      <c r="E196" s="171">
        <v>52032</v>
      </c>
      <c r="F196" s="182">
        <v>7.1249999999999994E-2</v>
      </c>
      <c r="G196" s="182"/>
      <c r="H196" s="182"/>
      <c r="I196" s="179">
        <v>7.4589600000000006E-2</v>
      </c>
      <c r="J196" s="179"/>
      <c r="K196" s="173">
        <v>940000</v>
      </c>
      <c r="L196" s="173">
        <v>940000</v>
      </c>
      <c r="M196" s="190">
        <f t="shared" si="32"/>
        <v>1</v>
      </c>
    </row>
    <row r="197" spans="1:15" s="196" customFormat="1" ht="12.75" customHeight="1" outlineLevel="1">
      <c r="A197" s="291" t="s">
        <v>121</v>
      </c>
      <c r="B197" s="292"/>
      <c r="C197" s="292"/>
      <c r="D197" s="292"/>
      <c r="E197" s="292"/>
      <c r="F197" s="292"/>
      <c r="G197" s="292"/>
      <c r="H197" s="292"/>
      <c r="I197" s="292"/>
      <c r="J197" s="293"/>
      <c r="K197" s="194">
        <f>SUM(K193:K196)</f>
        <v>2225000</v>
      </c>
      <c r="L197" s="194">
        <f>SUM(L193:L196)</f>
        <v>2225000</v>
      </c>
      <c r="M197" s="195"/>
    </row>
    <row r="198" spans="1:15" s="213" customFormat="1" ht="17.25" customHeight="1" outlineLevel="1">
      <c r="A198" s="204">
        <v>44694</v>
      </c>
      <c r="B198" s="204">
        <v>44699</v>
      </c>
      <c r="C198" s="205" t="s">
        <v>166</v>
      </c>
      <c r="D198" s="206" t="s">
        <v>140</v>
      </c>
      <c r="E198" s="207">
        <v>52032</v>
      </c>
      <c r="F198" s="208">
        <v>7.1249999999999994E-2</v>
      </c>
      <c r="G198" s="209" t="s">
        <v>130</v>
      </c>
      <c r="H198" s="209" t="s">
        <v>130</v>
      </c>
      <c r="I198" s="210">
        <v>7.4839600000000006E-2</v>
      </c>
      <c r="J198" s="209" t="s">
        <v>130</v>
      </c>
      <c r="K198" s="211">
        <v>4000000</v>
      </c>
      <c r="L198" s="211">
        <v>4000000</v>
      </c>
      <c r="M198" s="212">
        <f t="shared" ref="M198" si="33">IF(L198=0,0,K198/L198)</f>
        <v>1</v>
      </c>
      <c r="O198" s="216"/>
    </row>
    <row r="199" spans="1:15" s="196" customFormat="1" ht="12.75" customHeight="1" outlineLevel="1">
      <c r="A199" s="297" t="s">
        <v>121</v>
      </c>
      <c r="B199" s="298"/>
      <c r="C199" s="298"/>
      <c r="D199" s="298"/>
      <c r="E199" s="298"/>
      <c r="F199" s="298"/>
      <c r="G199" s="298"/>
      <c r="H199" s="298"/>
      <c r="I199" s="298"/>
      <c r="J199" s="299"/>
      <c r="K199" s="199">
        <f>SUM(K198)</f>
        <v>4000000</v>
      </c>
      <c r="L199" s="199">
        <f>SUM(L198)</f>
        <v>4000000</v>
      </c>
      <c r="M199" s="217"/>
    </row>
    <row r="200" spans="1:15" s="71" customFormat="1" ht="12.75" customHeight="1" outlineLevel="1">
      <c r="A200" s="178">
        <v>44698</v>
      </c>
      <c r="B200" s="178">
        <v>44700</v>
      </c>
      <c r="C200" s="174" t="s">
        <v>136</v>
      </c>
      <c r="D200" s="192" t="s">
        <v>189</v>
      </c>
      <c r="E200" s="171">
        <v>44754</v>
      </c>
      <c r="F200" s="182" t="s">
        <v>128</v>
      </c>
      <c r="G200" s="182">
        <v>2.47E-2</v>
      </c>
      <c r="H200" s="182">
        <v>3.5999999999999997E-2</v>
      </c>
      <c r="I200" s="218">
        <v>2.47E-2</v>
      </c>
      <c r="J200" s="218">
        <v>2.47E-2</v>
      </c>
      <c r="K200" s="197">
        <v>6075000</v>
      </c>
      <c r="L200" s="219">
        <v>250000</v>
      </c>
      <c r="M200" s="190">
        <f t="shared" ref="M200:M205" si="34">IF(L200=0,0,K200/L200)</f>
        <v>24.3</v>
      </c>
    </row>
    <row r="201" spans="1:15" s="71" customFormat="1" ht="12.75" customHeight="1" outlineLevel="1">
      <c r="A201" s="178"/>
      <c r="B201" s="171"/>
      <c r="C201" s="174"/>
      <c r="D201" s="192" t="s">
        <v>145</v>
      </c>
      <c r="E201" s="171">
        <v>45488</v>
      </c>
      <c r="F201" s="182">
        <v>0.04</v>
      </c>
      <c r="G201" s="182">
        <v>5.8500000000000003E-2</v>
      </c>
      <c r="H201" s="182">
        <v>6.7500000000000004E-2</v>
      </c>
      <c r="I201" s="218" t="s">
        <v>130</v>
      </c>
      <c r="J201" s="218" t="s">
        <v>130</v>
      </c>
      <c r="K201" s="198">
        <v>2867000</v>
      </c>
      <c r="L201" s="219" t="s">
        <v>130</v>
      </c>
      <c r="M201" s="220" t="s">
        <v>130</v>
      </c>
    </row>
    <row r="202" spans="1:15" s="71" customFormat="1" ht="12.75" customHeight="1" outlineLevel="1">
      <c r="A202" s="169"/>
      <c r="B202" s="169"/>
      <c r="C202" s="169"/>
      <c r="D202" s="192" t="s">
        <v>146</v>
      </c>
      <c r="E202" s="171">
        <v>46218</v>
      </c>
      <c r="F202" s="182">
        <v>4.8750000000000002E-2</v>
      </c>
      <c r="G202" s="182">
        <v>0.06</v>
      </c>
      <c r="H202" s="182">
        <v>7.0000000000000007E-2</v>
      </c>
      <c r="I202" s="182">
        <v>6.2425000000000001E-2</v>
      </c>
      <c r="J202" s="182">
        <v>6.3399999999999998E-2</v>
      </c>
      <c r="K202" s="198">
        <v>1261000</v>
      </c>
      <c r="L202" s="198">
        <v>545000</v>
      </c>
      <c r="M202" s="190">
        <f t="shared" si="34"/>
        <v>2.3137614678899081</v>
      </c>
    </row>
    <row r="203" spans="1:15" s="71" customFormat="1" ht="12.75" customHeight="1" outlineLevel="1">
      <c r="A203" s="169"/>
      <c r="B203" s="169"/>
      <c r="C203" s="169"/>
      <c r="D203" s="192" t="s">
        <v>147</v>
      </c>
      <c r="E203" s="171">
        <v>49018</v>
      </c>
      <c r="F203" s="182">
        <v>6.3750000000000001E-2</v>
      </c>
      <c r="G203" s="182">
        <v>7.0000000000000007E-2</v>
      </c>
      <c r="H203" s="182">
        <v>7.8700000000000006E-2</v>
      </c>
      <c r="I203" s="182">
        <v>7.0460599999999998E-2</v>
      </c>
      <c r="J203" s="182">
        <v>7.0999999999999994E-2</v>
      </c>
      <c r="K203" s="198">
        <v>3352500</v>
      </c>
      <c r="L203" s="198">
        <v>1450000</v>
      </c>
      <c r="M203" s="190">
        <f t="shared" si="34"/>
        <v>2.3120689655172413</v>
      </c>
    </row>
    <row r="204" spans="1:15" s="71" customFormat="1" ht="12.75" customHeight="1" outlineLevel="1">
      <c r="A204" s="169"/>
      <c r="B204" s="169"/>
      <c r="C204" s="169"/>
      <c r="D204" s="192" t="s">
        <v>149</v>
      </c>
      <c r="E204" s="171">
        <v>50936</v>
      </c>
      <c r="F204" s="182">
        <v>6.5000000000000002E-2</v>
      </c>
      <c r="G204" s="182">
        <v>7.0000000000000007E-2</v>
      </c>
      <c r="H204" s="182">
        <v>7.6999999999999999E-2</v>
      </c>
      <c r="I204" s="182">
        <v>7.2499400000000006E-2</v>
      </c>
      <c r="J204" s="182">
        <v>7.2999999999999995E-2</v>
      </c>
      <c r="K204" s="198">
        <v>2472000</v>
      </c>
      <c r="L204" s="198">
        <v>1230000</v>
      </c>
      <c r="M204" s="190">
        <f>IF(L204=0,0,K204/L204)</f>
        <v>2.0097560975609756</v>
      </c>
    </row>
    <row r="205" spans="1:15" s="71" customFormat="1" ht="12.75" customHeight="1" outlineLevel="1">
      <c r="A205" s="169"/>
      <c r="B205" s="169"/>
      <c r="C205" s="169"/>
      <c r="D205" s="192" t="s">
        <v>150</v>
      </c>
      <c r="E205" s="171">
        <v>53858</v>
      </c>
      <c r="F205" s="182">
        <v>6.7500000000000004E-2</v>
      </c>
      <c r="G205" s="182">
        <v>7.1999999999999995E-2</v>
      </c>
      <c r="H205" s="182">
        <v>7.8E-2</v>
      </c>
      <c r="I205" s="182">
        <v>7.2543999999999997E-2</v>
      </c>
      <c r="J205" s="182">
        <v>7.2999999999999995E-2</v>
      </c>
      <c r="K205" s="198">
        <v>993000</v>
      </c>
      <c r="L205" s="198">
        <v>802000</v>
      </c>
      <c r="M205" s="190">
        <f t="shared" si="34"/>
        <v>1.2381546134663342</v>
      </c>
    </row>
    <row r="206" spans="1:15" s="196" customFormat="1" ht="12.75" customHeight="1" outlineLevel="1">
      <c r="A206" s="297" t="s">
        <v>121</v>
      </c>
      <c r="B206" s="298"/>
      <c r="C206" s="298"/>
      <c r="D206" s="298"/>
      <c r="E206" s="298"/>
      <c r="F206" s="298"/>
      <c r="G206" s="298"/>
      <c r="H206" s="298"/>
      <c r="I206" s="298"/>
      <c r="J206" s="299"/>
      <c r="K206" s="199">
        <f>SUM(K200:K205)</f>
        <v>17020500</v>
      </c>
      <c r="L206" s="199">
        <f>SUM(L200:L205)</f>
        <v>4277000</v>
      </c>
      <c r="M206" s="195"/>
    </row>
    <row r="207" spans="1:15" s="71" customFormat="1" ht="12.75" customHeight="1" outlineLevel="1">
      <c r="A207" s="178">
        <v>44699</v>
      </c>
      <c r="B207" s="178">
        <v>44700</v>
      </c>
      <c r="C207" s="174" t="s">
        <v>183</v>
      </c>
      <c r="D207" s="192" t="s">
        <v>146</v>
      </c>
      <c r="E207" s="171">
        <v>46218</v>
      </c>
      <c r="F207" s="182">
        <v>4.8750000000000002E-2</v>
      </c>
      <c r="G207" s="218" t="s">
        <v>130</v>
      </c>
      <c r="H207" s="218" t="s">
        <v>130</v>
      </c>
      <c r="I207" s="218" t="s">
        <v>130</v>
      </c>
      <c r="J207" s="218" t="s">
        <v>130</v>
      </c>
      <c r="K207" s="218" t="s">
        <v>130</v>
      </c>
      <c r="L207" s="218" t="s">
        <v>130</v>
      </c>
      <c r="M207" s="220" t="s">
        <v>130</v>
      </c>
    </row>
    <row r="208" spans="1:15" s="71" customFormat="1" ht="12.75" customHeight="1" outlineLevel="1">
      <c r="A208" s="178"/>
      <c r="B208" s="171"/>
      <c r="C208" s="174"/>
      <c r="D208" s="192" t="s">
        <v>147</v>
      </c>
      <c r="E208" s="171">
        <v>49018</v>
      </c>
      <c r="F208" s="182">
        <v>6.3750000000000001E-2</v>
      </c>
      <c r="G208" s="182">
        <v>5.0799999999999998E-2</v>
      </c>
      <c r="H208" s="218" t="s">
        <v>130</v>
      </c>
      <c r="I208" s="218" t="s">
        <v>130</v>
      </c>
      <c r="J208" s="218" t="s">
        <v>130</v>
      </c>
      <c r="K208" s="198">
        <v>490000</v>
      </c>
      <c r="L208" s="198">
        <v>490000</v>
      </c>
      <c r="M208" s="190">
        <f t="shared" ref="M208:M210" si="35">IF(L208=0,0,K208/L208)</f>
        <v>1</v>
      </c>
    </row>
    <row r="209" spans="1:15" s="71" customFormat="1" ht="12.75" customHeight="1" outlineLevel="1">
      <c r="A209" s="169"/>
      <c r="B209" s="169"/>
      <c r="C209" s="169"/>
      <c r="D209" s="192" t="s">
        <v>149</v>
      </c>
      <c r="E209" s="171">
        <v>50936</v>
      </c>
      <c r="F209" s="182">
        <v>6.5000000000000002E-2</v>
      </c>
      <c r="G209" s="182">
        <v>6.0499999999999998E-2</v>
      </c>
      <c r="H209" s="218" t="s">
        <v>130</v>
      </c>
      <c r="I209" s="218" t="s">
        <v>130</v>
      </c>
      <c r="J209" s="218" t="s">
        <v>130</v>
      </c>
      <c r="K209" s="198">
        <v>2380000</v>
      </c>
      <c r="L209" s="198">
        <v>2380000</v>
      </c>
      <c r="M209" s="190">
        <f t="shared" si="35"/>
        <v>1</v>
      </c>
    </row>
    <row r="210" spans="1:15" s="71" customFormat="1" ht="12.75" customHeight="1" outlineLevel="1">
      <c r="A210" s="169"/>
      <c r="B210" s="169"/>
      <c r="C210" s="169"/>
      <c r="D210" s="192" t="s">
        <v>150</v>
      </c>
      <c r="E210" s="171">
        <v>53858</v>
      </c>
      <c r="F210" s="182">
        <v>6.7500000000000004E-2</v>
      </c>
      <c r="G210" s="182">
        <v>6.6100000000000006E-2</v>
      </c>
      <c r="H210" s="218" t="s">
        <v>130</v>
      </c>
      <c r="I210" s="218" t="s">
        <v>130</v>
      </c>
      <c r="J210" s="218" t="s">
        <v>130</v>
      </c>
      <c r="K210" s="198">
        <v>415000</v>
      </c>
      <c r="L210" s="198">
        <v>415000</v>
      </c>
      <c r="M210" s="190">
        <f t="shared" si="35"/>
        <v>1</v>
      </c>
    </row>
    <row r="211" spans="1:15" s="196" customFormat="1" ht="12.75" customHeight="1" outlineLevel="1">
      <c r="A211" s="297" t="s">
        <v>121</v>
      </c>
      <c r="B211" s="298"/>
      <c r="C211" s="298"/>
      <c r="D211" s="298"/>
      <c r="E211" s="298"/>
      <c r="F211" s="298"/>
      <c r="G211" s="298"/>
      <c r="H211" s="298"/>
      <c r="I211" s="298"/>
      <c r="J211" s="299"/>
      <c r="K211" s="199">
        <f>SUM(K207:K210)</f>
        <v>3285000</v>
      </c>
      <c r="L211" s="199">
        <f>SUM(L207:L210)</f>
        <v>3285000</v>
      </c>
      <c r="M211" s="195"/>
    </row>
    <row r="212" spans="1:15" s="213" customFormat="1" ht="17.25" customHeight="1" outlineLevel="1">
      <c r="A212" s="204">
        <v>44700</v>
      </c>
      <c r="B212" s="204">
        <v>44704</v>
      </c>
      <c r="C212" s="205" t="s">
        <v>166</v>
      </c>
      <c r="D212" s="206" t="s">
        <v>98</v>
      </c>
      <c r="E212" s="207">
        <v>48714</v>
      </c>
      <c r="F212" s="208">
        <v>6.6250000000000003E-2</v>
      </c>
      <c r="G212" s="209" t="s">
        <v>130</v>
      </c>
      <c r="H212" s="209" t="s">
        <v>130</v>
      </c>
      <c r="I212" s="210">
        <v>7.3700000000000002E-2</v>
      </c>
      <c r="J212" s="209" t="s">
        <v>130</v>
      </c>
      <c r="K212" s="211">
        <v>1209304</v>
      </c>
      <c r="L212" s="211">
        <v>1209304</v>
      </c>
      <c r="M212" s="212">
        <f t="shared" ref="M212" si="36">IF(L212=0,0,K212/L212)</f>
        <v>1</v>
      </c>
      <c r="O212" s="216"/>
    </row>
    <row r="213" spans="1:15" s="196" customFormat="1" ht="12.75" customHeight="1" outlineLevel="1">
      <c r="A213" s="297" t="s">
        <v>121</v>
      </c>
      <c r="B213" s="298"/>
      <c r="C213" s="298"/>
      <c r="D213" s="298"/>
      <c r="E213" s="298"/>
      <c r="F213" s="298"/>
      <c r="G213" s="298"/>
      <c r="H213" s="298"/>
      <c r="I213" s="298"/>
      <c r="J213" s="299"/>
      <c r="K213" s="199">
        <f>SUM(K212)</f>
        <v>1209304</v>
      </c>
      <c r="L213" s="199">
        <f>SUM(L212)</f>
        <v>1209304</v>
      </c>
      <c r="M213" s="217"/>
    </row>
    <row r="214" spans="1:15" s="71" customFormat="1" ht="12.75" customHeight="1" outlineLevel="1">
      <c r="A214" s="178">
        <v>44705</v>
      </c>
      <c r="B214" s="178">
        <v>44708</v>
      </c>
      <c r="C214" s="174" t="s">
        <v>136</v>
      </c>
      <c r="D214" s="192" t="s">
        <v>191</v>
      </c>
      <c r="E214" s="171">
        <v>44798</v>
      </c>
      <c r="F214" s="182" t="s">
        <v>128</v>
      </c>
      <c r="G214" s="182">
        <v>2.0899999999999998E-2</v>
      </c>
      <c r="H214" s="182">
        <v>2.7E-2</v>
      </c>
      <c r="I214" s="179">
        <v>2.10406E-2</v>
      </c>
      <c r="J214" s="179">
        <v>2.1399999999999999E-2</v>
      </c>
      <c r="K214" s="173">
        <v>10635000</v>
      </c>
      <c r="L214" s="184">
        <v>2000000</v>
      </c>
      <c r="M214" s="188">
        <f>IF(L214=0,0,K214/L214)</f>
        <v>5.3174999999999999</v>
      </c>
    </row>
    <row r="215" spans="1:15" s="71" customFormat="1" ht="12.75" customHeight="1" outlineLevel="1">
      <c r="A215" s="178"/>
      <c r="B215" s="171"/>
      <c r="C215" s="174"/>
      <c r="D215" s="192" t="s">
        <v>192</v>
      </c>
      <c r="E215" s="171">
        <v>45072</v>
      </c>
      <c r="F215" s="182" t="s">
        <v>128</v>
      </c>
      <c r="G215" s="182">
        <v>0.03</v>
      </c>
      <c r="H215" s="182">
        <v>3.5000000000000003E-2</v>
      </c>
      <c r="I215" s="182">
        <v>3.0414500000000001E-2</v>
      </c>
      <c r="J215" s="179">
        <v>3.1E-2</v>
      </c>
      <c r="K215" s="173">
        <v>2250000</v>
      </c>
      <c r="L215" s="184">
        <v>950000</v>
      </c>
      <c r="M215" s="183">
        <f t="shared" ref="M215:M220" si="37">IF(L215=0,0,K215/L215)</f>
        <v>2.3684210526315788</v>
      </c>
    </row>
    <row r="216" spans="1:15" s="71" customFormat="1" ht="12.75" customHeight="1" outlineLevel="1">
      <c r="A216" s="169"/>
      <c r="B216" s="169"/>
      <c r="C216" s="169"/>
      <c r="D216" s="192" t="s">
        <v>138</v>
      </c>
      <c r="E216" s="171">
        <v>46492</v>
      </c>
      <c r="F216" s="182">
        <v>5.1249999999999997E-2</v>
      </c>
      <c r="G216" s="182">
        <v>6.1800000000000001E-2</v>
      </c>
      <c r="H216" s="182">
        <v>6.6000000000000003E-2</v>
      </c>
      <c r="I216" s="179">
        <v>6.2491400000000003E-2</v>
      </c>
      <c r="J216" s="179">
        <v>6.3299999999999995E-2</v>
      </c>
      <c r="K216" s="173">
        <v>7086300</v>
      </c>
      <c r="L216" s="184">
        <v>4350000</v>
      </c>
      <c r="M216" s="183">
        <f t="shared" si="37"/>
        <v>1.6290344827586207</v>
      </c>
    </row>
    <row r="217" spans="1:15" s="71" customFormat="1" ht="12.75" customHeight="1" outlineLevel="1">
      <c r="A217" s="169"/>
      <c r="B217" s="169"/>
      <c r="C217" s="169"/>
      <c r="D217" s="192" t="s">
        <v>139</v>
      </c>
      <c r="E217" s="171">
        <v>48319</v>
      </c>
      <c r="F217" s="182">
        <v>6.3750000000000001E-2</v>
      </c>
      <c r="G217" s="182">
        <v>7.1199999999999999E-2</v>
      </c>
      <c r="H217" s="182">
        <v>7.3999999999999996E-2</v>
      </c>
      <c r="I217" s="179">
        <v>7.1952600000000005E-2</v>
      </c>
      <c r="J217" s="179">
        <v>7.2499999999999995E-2</v>
      </c>
      <c r="K217" s="173">
        <v>12571700</v>
      </c>
      <c r="L217" s="189">
        <v>8650000</v>
      </c>
      <c r="M217" s="190">
        <f t="shared" si="37"/>
        <v>1.4533757225433526</v>
      </c>
    </row>
    <row r="218" spans="1:15" s="71" customFormat="1" ht="12.75" customHeight="1" outlineLevel="1">
      <c r="A218" s="169"/>
      <c r="B218" s="169"/>
      <c r="C218" s="169"/>
      <c r="D218" s="192" t="s">
        <v>144</v>
      </c>
      <c r="E218" s="171">
        <v>50236</v>
      </c>
      <c r="F218" s="182">
        <v>6.3750000000000001E-2</v>
      </c>
      <c r="G218" s="182">
        <v>7.3200000000000001E-2</v>
      </c>
      <c r="H218" s="182">
        <v>7.5999999999999998E-2</v>
      </c>
      <c r="I218" s="179">
        <v>7.3390300000000006E-2</v>
      </c>
      <c r="J218" s="179">
        <v>7.3800000000000004E-2</v>
      </c>
      <c r="K218" s="173">
        <v>3302400</v>
      </c>
      <c r="L218" s="189">
        <v>1650000</v>
      </c>
      <c r="M218" s="190">
        <f t="shared" si="37"/>
        <v>2.0014545454545454</v>
      </c>
    </row>
    <row r="219" spans="1:15" s="71" customFormat="1" ht="12.75" customHeight="1" outlineLevel="1">
      <c r="A219" s="169"/>
      <c r="B219" s="169"/>
      <c r="C219" s="169"/>
      <c r="D219" s="192" t="s">
        <v>140</v>
      </c>
      <c r="E219" s="171">
        <v>52032</v>
      </c>
      <c r="F219" s="182">
        <v>7.1249999999999994E-2</v>
      </c>
      <c r="G219" s="182">
        <v>7.2499999999999995E-2</v>
      </c>
      <c r="H219" s="182">
        <v>7.5999999999999998E-2</v>
      </c>
      <c r="I219" s="179">
        <v>7.3485800000000004E-2</v>
      </c>
      <c r="J219" s="179">
        <v>7.3999999999999996E-2</v>
      </c>
      <c r="K219" s="173">
        <v>3135800</v>
      </c>
      <c r="L219" s="189">
        <v>2300000</v>
      </c>
      <c r="M219" s="190">
        <f t="shared" si="37"/>
        <v>1.3633913043478261</v>
      </c>
    </row>
    <row r="220" spans="1:15" s="71" customFormat="1" ht="12.75" customHeight="1" outlineLevel="1">
      <c r="A220" s="169"/>
      <c r="B220" s="169"/>
      <c r="C220" s="169"/>
      <c r="D220" s="192" t="s">
        <v>137</v>
      </c>
      <c r="E220" s="171">
        <v>55380</v>
      </c>
      <c r="F220" s="182">
        <v>6.8750000000000006E-2</v>
      </c>
      <c r="G220" s="182">
        <v>7.2700000000000001E-2</v>
      </c>
      <c r="H220" s="182">
        <v>7.4999999999999997E-2</v>
      </c>
      <c r="I220" s="179">
        <v>7.2887999999999994E-2</v>
      </c>
      <c r="J220" s="179">
        <v>7.3499999999999996E-2</v>
      </c>
      <c r="K220" s="173">
        <v>434200</v>
      </c>
      <c r="L220" s="189">
        <v>100000</v>
      </c>
      <c r="M220" s="190">
        <f t="shared" si="37"/>
        <v>4.3419999999999996</v>
      </c>
    </row>
    <row r="221" spans="1:15" s="196" customFormat="1" ht="12.75" customHeight="1" outlineLevel="1">
      <c r="A221" s="291" t="s">
        <v>121</v>
      </c>
      <c r="B221" s="292"/>
      <c r="C221" s="292"/>
      <c r="D221" s="292"/>
      <c r="E221" s="292"/>
      <c r="F221" s="292"/>
      <c r="G221" s="292"/>
      <c r="H221" s="292"/>
      <c r="I221" s="292"/>
      <c r="J221" s="293"/>
      <c r="K221" s="194">
        <f>SUM(K214:K220)</f>
        <v>39415400</v>
      </c>
      <c r="L221" s="194">
        <f>SUM(L214:L220)</f>
        <v>20000000</v>
      </c>
      <c r="M221" s="195"/>
    </row>
    <row r="222" spans="1:15" s="180" customFormat="1" ht="12.75" customHeight="1">
      <c r="A222" s="294" t="s">
        <v>186</v>
      </c>
      <c r="B222" s="295"/>
      <c r="C222" s="295"/>
      <c r="D222" s="295"/>
      <c r="E222" s="295"/>
      <c r="F222" s="295"/>
      <c r="G222" s="295"/>
      <c r="H222" s="295"/>
      <c r="I222" s="295"/>
      <c r="J222" s="296"/>
      <c r="K222" s="193">
        <f>SUM(K192,K197,K199,K206,K211,K213,K221)</f>
        <v>86896004</v>
      </c>
      <c r="L222" s="193">
        <f>SUM(L192,L197,L199,L206,L211,L213,L221)</f>
        <v>42756304</v>
      </c>
      <c r="M222" s="181"/>
    </row>
    <row r="223" spans="1:15" s="180" customFormat="1" ht="12.75" customHeight="1">
      <c r="A223" s="294" t="s">
        <v>190</v>
      </c>
      <c r="B223" s="295"/>
      <c r="C223" s="295"/>
      <c r="D223" s="295"/>
      <c r="E223" s="295"/>
      <c r="F223" s="295"/>
      <c r="G223" s="295"/>
      <c r="H223" s="295"/>
      <c r="I223" s="295"/>
      <c r="J223" s="296"/>
      <c r="K223" s="193">
        <f>SUM(K184,K222)</f>
        <v>897592172</v>
      </c>
      <c r="L223" s="193">
        <f>SUM(L184,L222)</f>
        <v>361211672</v>
      </c>
      <c r="M223" s="181"/>
    </row>
    <row r="224" spans="1:15" s="71" customFormat="1" ht="12.75" customHeight="1" outlineLevel="1">
      <c r="A224" s="178">
        <v>44712</v>
      </c>
      <c r="B224" s="178">
        <v>44715</v>
      </c>
      <c r="C224" s="174" t="s">
        <v>136</v>
      </c>
      <c r="D224" s="192" t="s">
        <v>189</v>
      </c>
      <c r="E224" s="171">
        <v>44880</v>
      </c>
      <c r="F224" s="182" t="s">
        <v>128</v>
      </c>
      <c r="G224" s="182">
        <v>2.0799999999999999E-2</v>
      </c>
      <c r="H224" s="182">
        <v>3.5000000000000003E-2</v>
      </c>
      <c r="I224" s="218">
        <v>2.1049999999999999E-2</v>
      </c>
      <c r="J224" s="218">
        <v>2.1299999999999999E-2</v>
      </c>
      <c r="K224" s="197">
        <v>7915000</v>
      </c>
      <c r="L224" s="219">
        <v>2450000</v>
      </c>
      <c r="M224" s="190">
        <f t="shared" ref="M224:M225" si="38">IF(L224=0,0,K224/L224)</f>
        <v>3.2306122448979591</v>
      </c>
    </row>
    <row r="225" spans="1:13" s="71" customFormat="1" ht="12.75" customHeight="1" outlineLevel="1">
      <c r="A225" s="178"/>
      <c r="B225" s="171"/>
      <c r="C225" s="174"/>
      <c r="D225" s="192" t="s">
        <v>145</v>
      </c>
      <c r="E225" s="171">
        <v>45488</v>
      </c>
      <c r="F225" s="182">
        <v>0.04</v>
      </c>
      <c r="G225" s="182">
        <v>5.1799999999999999E-2</v>
      </c>
      <c r="H225" s="182">
        <v>5.8999999999999997E-2</v>
      </c>
      <c r="I225" s="218">
        <v>5.25435E-2</v>
      </c>
      <c r="J225" s="218">
        <v>5.3499999999999999E-2</v>
      </c>
      <c r="K225" s="198">
        <v>5915000</v>
      </c>
      <c r="L225" s="219">
        <v>4050000</v>
      </c>
      <c r="M225" s="190">
        <f t="shared" si="38"/>
        <v>1.4604938271604939</v>
      </c>
    </row>
    <row r="226" spans="1:13" s="71" customFormat="1" ht="12.75" customHeight="1" outlineLevel="1">
      <c r="A226" s="169"/>
      <c r="B226" s="169"/>
      <c r="C226" s="169"/>
      <c r="D226" s="192" t="s">
        <v>146</v>
      </c>
      <c r="E226" s="171">
        <v>46218</v>
      </c>
      <c r="F226" s="182">
        <v>4.8750000000000002E-2</v>
      </c>
      <c r="G226" s="182">
        <v>5.9499999999999997E-2</v>
      </c>
      <c r="H226" s="182">
        <v>6.5000000000000002E-2</v>
      </c>
      <c r="I226" s="182">
        <v>5.9963200000000001E-2</v>
      </c>
      <c r="J226" s="182">
        <v>6.0499999999999998E-2</v>
      </c>
      <c r="K226" s="198">
        <v>2789000</v>
      </c>
      <c r="L226" s="198">
        <v>300000</v>
      </c>
      <c r="M226" s="190">
        <f t="shared" ref="M226:M227" si="39">IF(L226=0,0,K226/L226)</f>
        <v>9.2966666666666669</v>
      </c>
    </row>
    <row r="227" spans="1:13" s="71" customFormat="1" ht="12.75" customHeight="1" outlineLevel="1">
      <c r="A227" s="169"/>
      <c r="B227" s="169"/>
      <c r="C227" s="169"/>
      <c r="D227" s="71" t="s">
        <v>156</v>
      </c>
      <c r="E227" s="171">
        <v>46949</v>
      </c>
      <c r="F227" s="182">
        <v>5.8749999999999997E-2</v>
      </c>
      <c r="G227" s="182">
        <v>6.3500000000000001E-2</v>
      </c>
      <c r="H227" s="182">
        <v>7.2999999999999995E-2</v>
      </c>
      <c r="I227" s="182">
        <v>6.4069200000000007E-2</v>
      </c>
      <c r="J227" s="182">
        <v>6.5000000000000002E-2</v>
      </c>
      <c r="K227" s="198">
        <v>591000</v>
      </c>
      <c r="L227" s="198">
        <v>400000</v>
      </c>
      <c r="M227" s="190">
        <f t="shared" si="39"/>
        <v>1.4775</v>
      </c>
    </row>
    <row r="228" spans="1:13" s="71" customFormat="1" ht="12.75" customHeight="1" outlineLevel="1">
      <c r="A228" s="169"/>
      <c r="B228" s="169"/>
      <c r="C228" s="169"/>
      <c r="D228" s="192" t="s">
        <v>147</v>
      </c>
      <c r="E228" s="171">
        <v>49018</v>
      </c>
      <c r="F228" s="182">
        <v>6.3750000000000001E-2</v>
      </c>
      <c r="G228" s="182">
        <v>7.0300000000000001E-2</v>
      </c>
      <c r="H228" s="182">
        <v>7.5600000000000001E-2</v>
      </c>
      <c r="I228" s="182">
        <v>7.1196300000000004E-2</v>
      </c>
      <c r="J228" s="182">
        <v>7.1800000000000003E-2</v>
      </c>
      <c r="K228" s="198">
        <v>2147000</v>
      </c>
      <c r="L228" s="198">
        <v>500000</v>
      </c>
      <c r="M228" s="190">
        <f>IF(L228=0,0,K228/L228)</f>
        <v>4.2939999999999996</v>
      </c>
    </row>
    <row r="229" spans="1:13" s="71" customFormat="1" ht="12.75" customHeight="1" outlineLevel="1">
      <c r="A229" s="169"/>
      <c r="B229" s="169"/>
      <c r="C229" s="169"/>
      <c r="D229" s="192" t="s">
        <v>150</v>
      </c>
      <c r="E229" s="171">
        <v>53858</v>
      </c>
      <c r="F229" s="182">
        <v>6.7500000000000004E-2</v>
      </c>
      <c r="G229" s="182">
        <v>7.1999999999999995E-2</v>
      </c>
      <c r="H229" s="182">
        <v>7.2900000000000006E-2</v>
      </c>
      <c r="I229" s="182">
        <v>7.2481000000000004E-2</v>
      </c>
      <c r="J229" s="182">
        <v>7.2900000000000006E-2</v>
      </c>
      <c r="K229" s="198">
        <v>858600</v>
      </c>
      <c r="L229" s="198">
        <v>300000</v>
      </c>
      <c r="M229" s="190">
        <f t="shared" ref="M229" si="40">IF(L229=0,0,K229/L229)</f>
        <v>2.8620000000000001</v>
      </c>
    </row>
    <row r="230" spans="1:13" s="196" customFormat="1" ht="12.75" customHeight="1" outlineLevel="1">
      <c r="A230" s="297" t="s">
        <v>121</v>
      </c>
      <c r="B230" s="298"/>
      <c r="C230" s="298"/>
      <c r="D230" s="298"/>
      <c r="E230" s="298"/>
      <c r="F230" s="298"/>
      <c r="G230" s="298"/>
      <c r="H230" s="298"/>
      <c r="I230" s="298"/>
      <c r="J230" s="299"/>
      <c r="K230" s="199">
        <f>SUM(K224:K229)</f>
        <v>20215600</v>
      </c>
      <c r="L230" s="199">
        <f>SUM(L224:L229)</f>
        <v>8000000</v>
      </c>
      <c r="M230" s="195"/>
    </row>
    <row r="231" spans="1:13" s="222" customFormat="1" ht="12.75" customHeight="1" outlineLevel="1">
      <c r="A231" s="171">
        <v>44705</v>
      </c>
      <c r="B231" s="171">
        <v>44718</v>
      </c>
      <c r="C231" s="174" t="s">
        <v>160</v>
      </c>
      <c r="D231" s="192" t="s">
        <v>214</v>
      </c>
      <c r="E231" s="171">
        <v>46544</v>
      </c>
      <c r="F231" s="182">
        <v>4.3999999999999997E-2</v>
      </c>
      <c r="G231" s="182"/>
      <c r="H231" s="182"/>
      <c r="I231" s="182">
        <v>4.3999999999999997E-2</v>
      </c>
      <c r="J231" s="179"/>
      <c r="K231" s="189" t="s">
        <v>40</v>
      </c>
      <c r="L231" s="189" t="str">
        <f>K231</f>
        <v>USD1.750.000.000</v>
      </c>
      <c r="M231" s="190"/>
    </row>
    <row r="232" spans="1:13" s="71" customFormat="1" ht="12.75" customHeight="1" outlineLevel="1">
      <c r="A232" s="169"/>
      <c r="B232" s="169"/>
      <c r="C232" s="174"/>
      <c r="D232" s="192"/>
      <c r="E232" s="171"/>
      <c r="F232" s="182"/>
      <c r="G232" s="182"/>
      <c r="H232" s="182"/>
      <c r="I232" s="179"/>
      <c r="J232" s="179"/>
      <c r="K232" s="189">
        <f>14467*1750000000/1000000</f>
        <v>25317250</v>
      </c>
      <c r="L232" s="189">
        <f>14467*1750000000/1000000</f>
        <v>25317250</v>
      </c>
      <c r="M232" s="190"/>
    </row>
    <row r="233" spans="1:13" s="71" customFormat="1" ht="12.75" customHeight="1" outlineLevel="1">
      <c r="A233" s="169"/>
      <c r="B233" s="171">
        <v>44718</v>
      </c>
      <c r="C233" s="174"/>
      <c r="D233" s="192" t="s">
        <v>211</v>
      </c>
      <c r="E233" s="171">
        <v>48371</v>
      </c>
      <c r="F233" s="182">
        <v>4.7E-2</v>
      </c>
      <c r="G233" s="182"/>
      <c r="H233" s="182"/>
      <c r="I233" s="182">
        <v>4.7E-2</v>
      </c>
      <c r="J233" s="179"/>
      <c r="K233" s="189" t="s">
        <v>212</v>
      </c>
      <c r="L233" s="189" t="str">
        <f>K233</f>
        <v>USD1.500.000.000</v>
      </c>
      <c r="M233" s="190"/>
    </row>
    <row r="234" spans="1:13" s="71" customFormat="1" ht="12.75" customHeight="1" outlineLevel="1">
      <c r="A234" s="169"/>
      <c r="B234" s="169"/>
      <c r="C234" s="174"/>
      <c r="D234" s="192"/>
      <c r="E234" s="171"/>
      <c r="F234" s="182"/>
      <c r="G234" s="182"/>
      <c r="H234" s="182"/>
      <c r="I234" s="179"/>
      <c r="J234" s="179"/>
      <c r="K234" s="189">
        <f>14467*1500000000/1000000</f>
        <v>21700500</v>
      </c>
      <c r="L234" s="189">
        <f>14467*1500000000/1000000</f>
        <v>21700500</v>
      </c>
      <c r="M234" s="190"/>
    </row>
    <row r="235" spans="1:13" s="223" customFormat="1" ht="12.75" customHeight="1" outlineLevel="1">
      <c r="A235" s="291" t="s">
        <v>121</v>
      </c>
      <c r="B235" s="292"/>
      <c r="C235" s="292"/>
      <c r="D235" s="292"/>
      <c r="E235" s="292"/>
      <c r="F235" s="292"/>
      <c r="G235" s="292"/>
      <c r="H235" s="292"/>
      <c r="I235" s="292"/>
      <c r="J235" s="293"/>
      <c r="K235" s="194">
        <f>SUM(K232,K234)</f>
        <v>47017750</v>
      </c>
      <c r="L235" s="194">
        <f>SUM(L232,L234)</f>
        <v>47017750</v>
      </c>
      <c r="M235" s="195"/>
    </row>
    <row r="236" spans="1:13" s="71" customFormat="1" ht="12.75" customHeight="1" outlineLevel="1">
      <c r="A236" s="178">
        <v>44719</v>
      </c>
      <c r="B236" s="178">
        <v>44721</v>
      </c>
      <c r="C236" s="174" t="s">
        <v>136</v>
      </c>
      <c r="D236" s="192" t="s">
        <v>194</v>
      </c>
      <c r="E236" s="171">
        <v>44811</v>
      </c>
      <c r="F236" s="182" t="s">
        <v>128</v>
      </c>
      <c r="G236" s="182">
        <v>1.9800000000000002E-2</v>
      </c>
      <c r="H236" s="182">
        <v>2.4E-2</v>
      </c>
      <c r="I236" s="179">
        <v>1.99066E-2</v>
      </c>
      <c r="J236" s="179">
        <v>2.0299999999999999E-2</v>
      </c>
      <c r="K236" s="173">
        <v>9590000</v>
      </c>
      <c r="L236" s="184">
        <v>2000000</v>
      </c>
      <c r="M236" s="188">
        <f>IF(L236=0,0,K236/L236)</f>
        <v>4.7949999999999999</v>
      </c>
    </row>
    <row r="237" spans="1:13" s="71" customFormat="1" ht="12.75" customHeight="1" outlineLevel="1">
      <c r="A237" s="178"/>
      <c r="B237" s="171"/>
      <c r="C237" s="174"/>
      <c r="D237" s="192" t="s">
        <v>165</v>
      </c>
      <c r="E237" s="171">
        <v>44988</v>
      </c>
      <c r="F237" s="182" t="s">
        <v>128</v>
      </c>
      <c r="G237" s="182">
        <v>2.8500000000000001E-2</v>
      </c>
      <c r="H237" s="182">
        <v>3.0499999999999999E-2</v>
      </c>
      <c r="I237" s="182">
        <v>2.9152000000000001E-2</v>
      </c>
      <c r="J237" s="179">
        <v>2.9499999999999998E-2</v>
      </c>
      <c r="K237" s="173">
        <v>4415000</v>
      </c>
      <c r="L237" s="184">
        <v>2000000</v>
      </c>
      <c r="M237" s="183">
        <f t="shared" ref="M237:M242" si="41">IF(L237=0,0,K237/L237)</f>
        <v>2.2075</v>
      </c>
    </row>
    <row r="238" spans="1:13" s="71" customFormat="1" ht="12.75" customHeight="1" outlineLevel="1">
      <c r="A238" s="169"/>
      <c r="B238" s="169"/>
      <c r="C238" s="169"/>
      <c r="D238" s="192" t="s">
        <v>138</v>
      </c>
      <c r="E238" s="171">
        <v>46492</v>
      </c>
      <c r="F238" s="182">
        <v>5.1249999999999997E-2</v>
      </c>
      <c r="G238" s="182">
        <v>0.06</v>
      </c>
      <c r="H238" s="182">
        <v>6.4000000000000001E-2</v>
      </c>
      <c r="I238" s="179">
        <v>6.08999E-2</v>
      </c>
      <c r="J238" s="179">
        <v>6.1199999999999997E-2</v>
      </c>
      <c r="K238" s="173">
        <v>9185500</v>
      </c>
      <c r="L238" s="184">
        <v>4200000</v>
      </c>
      <c r="M238" s="183">
        <f t="shared" si="41"/>
        <v>2.1870238095238097</v>
      </c>
    </row>
    <row r="239" spans="1:13" s="71" customFormat="1" ht="12.75" customHeight="1" outlineLevel="1">
      <c r="A239" s="169"/>
      <c r="B239" s="169"/>
      <c r="C239" s="169"/>
      <c r="D239" s="192" t="s">
        <v>139</v>
      </c>
      <c r="E239" s="171">
        <v>48319</v>
      </c>
      <c r="F239" s="182">
        <v>6.3750000000000001E-2</v>
      </c>
      <c r="G239" s="182">
        <v>6.9500000000000006E-2</v>
      </c>
      <c r="H239" s="182">
        <v>7.2999999999999995E-2</v>
      </c>
      <c r="I239" s="179">
        <v>7.0596999999999993E-2</v>
      </c>
      <c r="J239" s="179">
        <v>7.0999999999999994E-2</v>
      </c>
      <c r="K239" s="173">
        <v>13520000</v>
      </c>
      <c r="L239" s="184">
        <v>6350000</v>
      </c>
      <c r="M239" s="190">
        <f t="shared" si="41"/>
        <v>2.1291338582677164</v>
      </c>
    </row>
    <row r="240" spans="1:13" s="71" customFormat="1" ht="12.75" customHeight="1" outlineLevel="1">
      <c r="A240" s="169"/>
      <c r="B240" s="169"/>
      <c r="C240" s="169"/>
      <c r="D240" s="192" t="s">
        <v>144</v>
      </c>
      <c r="E240" s="171">
        <v>50236</v>
      </c>
      <c r="F240" s="182">
        <v>6.3750000000000001E-2</v>
      </c>
      <c r="G240" s="182">
        <v>7.1999999999999995E-2</v>
      </c>
      <c r="H240" s="182">
        <v>7.4300000000000005E-2</v>
      </c>
      <c r="I240" s="179">
        <v>7.2693999999999995E-2</v>
      </c>
      <c r="J240" s="179">
        <v>7.2999999999999995E-2</v>
      </c>
      <c r="K240" s="173">
        <v>3470100</v>
      </c>
      <c r="L240" s="189">
        <v>1550000</v>
      </c>
      <c r="M240" s="190">
        <f t="shared" si="41"/>
        <v>2.2387741935483869</v>
      </c>
    </row>
    <row r="241" spans="1:13" s="71" customFormat="1" ht="12.75" customHeight="1" outlineLevel="1">
      <c r="A241" s="169"/>
      <c r="B241" s="169"/>
      <c r="C241" s="169"/>
      <c r="D241" s="192" t="s">
        <v>140</v>
      </c>
      <c r="E241" s="171">
        <v>52032</v>
      </c>
      <c r="F241" s="182">
        <v>7.1249999999999994E-2</v>
      </c>
      <c r="G241" s="182">
        <v>7.2700000000000001E-2</v>
      </c>
      <c r="H241" s="182">
        <v>7.6999999999999999E-2</v>
      </c>
      <c r="I241" s="179">
        <v>7.3189299999999999E-2</v>
      </c>
      <c r="J241" s="179">
        <v>7.3400000000000007E-2</v>
      </c>
      <c r="K241" s="173">
        <v>2932600</v>
      </c>
      <c r="L241" s="189">
        <v>750000</v>
      </c>
      <c r="M241" s="190">
        <f t="shared" si="41"/>
        <v>3.9101333333333335</v>
      </c>
    </row>
    <row r="242" spans="1:13" s="71" customFormat="1" ht="12.75" customHeight="1" outlineLevel="1">
      <c r="A242" s="169"/>
      <c r="B242" s="169"/>
      <c r="C242" s="169"/>
      <c r="D242" s="192" t="s">
        <v>137</v>
      </c>
      <c r="E242" s="171">
        <v>55380</v>
      </c>
      <c r="F242" s="182">
        <v>6.8750000000000006E-2</v>
      </c>
      <c r="G242" s="182">
        <v>7.2599999999999998E-2</v>
      </c>
      <c r="H242" s="182">
        <v>7.4200000000000002E-2</v>
      </c>
      <c r="I242" s="179">
        <v>7.3122900000000005E-2</v>
      </c>
      <c r="J242" s="179">
        <v>7.3300000000000004E-2</v>
      </c>
      <c r="K242" s="173">
        <v>429000</v>
      </c>
      <c r="L242" s="189">
        <v>150000</v>
      </c>
      <c r="M242" s="190">
        <f t="shared" si="41"/>
        <v>2.86</v>
      </c>
    </row>
    <row r="243" spans="1:13" s="196" customFormat="1" ht="12.75" customHeight="1" outlineLevel="1">
      <c r="A243" s="291" t="s">
        <v>121</v>
      </c>
      <c r="B243" s="292"/>
      <c r="C243" s="292"/>
      <c r="D243" s="292"/>
      <c r="E243" s="292"/>
      <c r="F243" s="292"/>
      <c r="G243" s="292"/>
      <c r="H243" s="292"/>
      <c r="I243" s="292"/>
      <c r="J243" s="293"/>
      <c r="K243" s="194">
        <f>SUM(K236:K242)</f>
        <v>43542200</v>
      </c>
      <c r="L243" s="194">
        <f>SUM(L236:L242)</f>
        <v>17000000</v>
      </c>
      <c r="M243" s="195"/>
    </row>
    <row r="244" spans="1:13" s="222" customFormat="1" ht="12.75" customHeight="1" outlineLevel="1">
      <c r="A244" s="224">
        <v>44714</v>
      </c>
      <c r="B244" s="224">
        <v>44721</v>
      </c>
      <c r="C244" s="225" t="s">
        <v>160</v>
      </c>
      <c r="D244" s="226" t="s">
        <v>195</v>
      </c>
      <c r="E244" s="224">
        <v>45817</v>
      </c>
      <c r="F244" s="227">
        <v>9.5999999999999992E-3</v>
      </c>
      <c r="G244" s="227"/>
      <c r="H244" s="227"/>
      <c r="I244" s="228"/>
      <c r="J244" s="228"/>
      <c r="K244" s="229" t="s">
        <v>199</v>
      </c>
      <c r="L244" s="229" t="s">
        <v>199</v>
      </c>
      <c r="M244" s="230"/>
    </row>
    <row r="245" spans="1:13" s="71" customFormat="1" ht="12.75" customHeight="1" outlineLevel="1">
      <c r="A245" s="169"/>
      <c r="B245" s="169"/>
      <c r="C245" s="174"/>
      <c r="D245" s="192"/>
      <c r="E245" s="171"/>
      <c r="F245" s="182"/>
      <c r="G245" s="182"/>
      <c r="H245" s="182"/>
      <c r="I245" s="179"/>
      <c r="J245" s="179"/>
      <c r="K245" s="189">
        <f>108.1948*68200000000/1000000</f>
        <v>7378885.3600000003</v>
      </c>
      <c r="L245" s="189">
        <f>108.1948*68200000000/1000000</f>
        <v>7378885.3600000003</v>
      </c>
      <c r="M245" s="190"/>
    </row>
    <row r="246" spans="1:13" s="71" customFormat="1" ht="12.75" customHeight="1" outlineLevel="1">
      <c r="A246" s="169"/>
      <c r="B246" s="224">
        <v>44721</v>
      </c>
      <c r="C246" s="174"/>
      <c r="D246" s="192" t="s">
        <v>196</v>
      </c>
      <c r="E246" s="224">
        <v>46547</v>
      </c>
      <c r="F246" s="182">
        <v>1.1299999999999999E-2</v>
      </c>
      <c r="G246" s="182"/>
      <c r="H246" s="182"/>
      <c r="I246" s="179"/>
      <c r="J246" s="179"/>
      <c r="K246" s="231" t="s">
        <v>200</v>
      </c>
      <c r="L246" s="231" t="s">
        <v>200</v>
      </c>
      <c r="M246" s="190"/>
    </row>
    <row r="247" spans="1:13" s="71" customFormat="1" ht="12.75" customHeight="1" outlineLevel="1">
      <c r="A247" s="169"/>
      <c r="B247" s="169"/>
      <c r="C247" s="174"/>
      <c r="D247" s="192"/>
      <c r="E247" s="171"/>
      <c r="F247" s="182"/>
      <c r="G247" s="182"/>
      <c r="H247" s="182"/>
      <c r="I247" s="179"/>
      <c r="J247" s="179"/>
      <c r="K247" s="189">
        <f>108.1948*5100000000/1000000</f>
        <v>551793.48</v>
      </c>
      <c r="L247" s="189">
        <f>108.1948*5100000000/1000000</f>
        <v>551793.48</v>
      </c>
      <c r="M247" s="190"/>
    </row>
    <row r="248" spans="1:13" s="71" customFormat="1" ht="12.75" customHeight="1" outlineLevel="1">
      <c r="A248" s="169"/>
      <c r="B248" s="224">
        <v>44721</v>
      </c>
      <c r="C248" s="174"/>
      <c r="D248" s="192" t="s">
        <v>197</v>
      </c>
      <c r="E248" s="224">
        <v>47277</v>
      </c>
      <c r="F248" s="182">
        <v>1.2699999999999999E-2</v>
      </c>
      <c r="G248" s="182"/>
      <c r="H248" s="182"/>
      <c r="I248" s="179"/>
      <c r="J248" s="179"/>
      <c r="K248" s="231" t="s">
        <v>201</v>
      </c>
      <c r="L248" s="231" t="s">
        <v>201</v>
      </c>
      <c r="M248" s="190"/>
    </row>
    <row r="249" spans="1:13" s="71" customFormat="1" ht="12.75" customHeight="1" outlineLevel="1">
      <c r="A249" s="169"/>
      <c r="B249" s="169"/>
      <c r="C249" s="174"/>
      <c r="D249" s="192"/>
      <c r="E249" s="171"/>
      <c r="F249" s="182"/>
      <c r="G249" s="182"/>
      <c r="H249" s="182"/>
      <c r="I249" s="179"/>
      <c r="J249" s="179"/>
      <c r="K249" s="189">
        <f>108.1948*1700000000/1000000</f>
        <v>183931.16</v>
      </c>
      <c r="L249" s="189">
        <f>108.1948*1700000000/1000000</f>
        <v>183931.16</v>
      </c>
      <c r="M249" s="190"/>
    </row>
    <row r="250" spans="1:13" s="71" customFormat="1" ht="12.75" customHeight="1" outlineLevel="1">
      <c r="A250" s="169"/>
      <c r="B250" s="224">
        <v>44721</v>
      </c>
      <c r="C250" s="174"/>
      <c r="D250" s="192" t="s">
        <v>198</v>
      </c>
      <c r="E250" s="224">
        <v>48374</v>
      </c>
      <c r="F250" s="182">
        <v>1.4500000000000001E-2</v>
      </c>
      <c r="G250" s="182"/>
      <c r="H250" s="182"/>
      <c r="I250" s="179"/>
      <c r="J250" s="179"/>
      <c r="K250" s="231" t="s">
        <v>202</v>
      </c>
      <c r="L250" s="231" t="s">
        <v>202</v>
      </c>
      <c r="M250" s="190"/>
    </row>
    <row r="251" spans="1:13" s="71" customFormat="1" ht="12.75" customHeight="1" outlineLevel="1">
      <c r="A251" s="169"/>
      <c r="B251" s="169"/>
      <c r="C251" s="174"/>
      <c r="D251" s="192"/>
      <c r="E251" s="171"/>
      <c r="F251" s="182"/>
      <c r="G251" s="182"/>
      <c r="H251" s="182"/>
      <c r="I251" s="179"/>
      <c r="J251" s="179"/>
      <c r="K251" s="189">
        <f>108.1948*6000000000/1000000</f>
        <v>649168.80000000005</v>
      </c>
      <c r="L251" s="189">
        <f>108.1948*6000000000/1000000</f>
        <v>649168.80000000005</v>
      </c>
      <c r="M251" s="190"/>
    </row>
    <row r="252" spans="1:13" s="215" customFormat="1" ht="12" customHeight="1" outlineLevel="1">
      <c r="A252" s="288" t="s">
        <v>121</v>
      </c>
      <c r="B252" s="289"/>
      <c r="C252" s="289"/>
      <c r="D252" s="289"/>
      <c r="E252" s="289"/>
      <c r="F252" s="289"/>
      <c r="G252" s="289"/>
      <c r="H252" s="289"/>
      <c r="I252" s="289"/>
      <c r="J252" s="290"/>
      <c r="K252" s="214">
        <f>SUM(K245,K247,K249,K251)</f>
        <v>8763778.8000000007</v>
      </c>
      <c r="L252" s="214">
        <f>SUM(L245,L247,L249,L251)</f>
        <v>8763778.8000000007</v>
      </c>
      <c r="M252" s="232"/>
    </row>
    <row r="253" spans="1:13" s="71" customFormat="1" ht="12.75" customHeight="1" outlineLevel="1">
      <c r="A253" s="178">
        <v>44726</v>
      </c>
      <c r="B253" s="178">
        <v>44728</v>
      </c>
      <c r="C253" s="174" t="s">
        <v>136</v>
      </c>
      <c r="D253" s="192" t="s">
        <v>208</v>
      </c>
      <c r="E253" s="171">
        <v>44908</v>
      </c>
      <c r="F253" s="182" t="s">
        <v>128</v>
      </c>
      <c r="G253" s="182">
        <v>2.1000000000000001E-2</v>
      </c>
      <c r="H253" s="182">
        <v>2.8500000000000001E-2</v>
      </c>
      <c r="I253" s="218">
        <v>2.20308E-2</v>
      </c>
      <c r="J253" s="218">
        <v>2.2499999999999999E-2</v>
      </c>
      <c r="K253" s="219">
        <v>3060000</v>
      </c>
      <c r="L253" s="197">
        <v>2400000</v>
      </c>
      <c r="M253" s="190">
        <f t="shared" ref="M253:M258" si="42">IF(L253=0,0,K253/L253)</f>
        <v>1.2749999999999999</v>
      </c>
    </row>
    <row r="254" spans="1:13" s="71" customFormat="1" ht="12.75" customHeight="1" outlineLevel="1">
      <c r="A254" s="178"/>
      <c r="B254" s="171"/>
      <c r="C254" s="174"/>
      <c r="D254" s="192" t="s">
        <v>145</v>
      </c>
      <c r="E254" s="171">
        <v>45488</v>
      </c>
      <c r="F254" s="182">
        <v>0.04</v>
      </c>
      <c r="G254" s="182">
        <v>5.2600000000000001E-2</v>
      </c>
      <c r="H254" s="182">
        <v>0.06</v>
      </c>
      <c r="I254" s="218">
        <v>5.33917E-2</v>
      </c>
      <c r="J254" s="218">
        <v>5.3999999999999999E-2</v>
      </c>
      <c r="K254" s="219">
        <v>3549000</v>
      </c>
      <c r="L254" s="198">
        <v>1300000</v>
      </c>
      <c r="M254" s="190">
        <f t="shared" si="42"/>
        <v>2.73</v>
      </c>
    </row>
    <row r="255" spans="1:13" s="71" customFormat="1" ht="12.75" customHeight="1" outlineLevel="1">
      <c r="A255" s="169"/>
      <c r="B255" s="169"/>
      <c r="C255" s="169"/>
      <c r="D255" s="192" t="s">
        <v>146</v>
      </c>
      <c r="E255" s="171">
        <v>46218</v>
      </c>
      <c r="F255" s="182">
        <v>4.8750000000000002E-2</v>
      </c>
      <c r="G255" s="182">
        <v>6.2300000000000001E-2</v>
      </c>
      <c r="H255" s="182">
        <v>6.7500000000000004E-2</v>
      </c>
      <c r="I255" s="182">
        <v>6.2300000000000001E-2</v>
      </c>
      <c r="J255" s="182">
        <v>6.2300000000000001E-2</v>
      </c>
      <c r="K255" s="198">
        <v>2521000</v>
      </c>
      <c r="L255" s="198">
        <v>1000000</v>
      </c>
      <c r="M255" s="190">
        <f t="shared" si="42"/>
        <v>2.5209999999999999</v>
      </c>
    </row>
    <row r="256" spans="1:13" s="71" customFormat="1" ht="12.75" customHeight="1" outlineLevel="1">
      <c r="A256" s="169"/>
      <c r="B256" s="169"/>
      <c r="C256" s="169"/>
      <c r="D256" s="192" t="s">
        <v>147</v>
      </c>
      <c r="E256" s="171">
        <v>49018</v>
      </c>
      <c r="F256" s="182">
        <v>6.3750000000000001E-2</v>
      </c>
      <c r="G256" s="182">
        <v>7.1999999999999995E-2</v>
      </c>
      <c r="H256" s="182">
        <v>7.85E-2</v>
      </c>
      <c r="I256" s="218" t="s">
        <v>130</v>
      </c>
      <c r="J256" s="218" t="s">
        <v>130</v>
      </c>
      <c r="K256" s="198">
        <v>4794000</v>
      </c>
      <c r="L256" s="219" t="s">
        <v>130</v>
      </c>
      <c r="M256" s="220" t="s">
        <v>130</v>
      </c>
    </row>
    <row r="257" spans="1:15" s="71" customFormat="1" ht="12.75" customHeight="1" outlineLevel="1">
      <c r="A257" s="169"/>
      <c r="B257" s="169"/>
      <c r="C257" s="169"/>
      <c r="D257" s="192" t="s">
        <v>149</v>
      </c>
      <c r="E257" s="171">
        <v>50936</v>
      </c>
      <c r="F257" s="182">
        <v>6.5000000000000002E-2</v>
      </c>
      <c r="G257" s="182">
        <v>7.1999999999999995E-2</v>
      </c>
      <c r="H257" s="182">
        <v>7.2300000000000003E-2</v>
      </c>
      <c r="I257" s="218" t="s">
        <v>130</v>
      </c>
      <c r="J257" s="218" t="s">
        <v>130</v>
      </c>
      <c r="K257" s="198">
        <v>441000</v>
      </c>
      <c r="L257" s="219" t="s">
        <v>130</v>
      </c>
      <c r="M257" s="220" t="s">
        <v>130</v>
      </c>
    </row>
    <row r="258" spans="1:15" s="71" customFormat="1" ht="12.75" customHeight="1" outlineLevel="1">
      <c r="A258" s="169"/>
      <c r="B258" s="169"/>
      <c r="C258" s="169"/>
      <c r="D258" s="192" t="s">
        <v>150</v>
      </c>
      <c r="E258" s="171">
        <v>53858</v>
      </c>
      <c r="F258" s="182">
        <v>6.7500000000000004E-2</v>
      </c>
      <c r="G258" s="182">
        <v>7.2999999999999995E-2</v>
      </c>
      <c r="H258" s="182">
        <v>7.4200000000000002E-2</v>
      </c>
      <c r="I258" s="182">
        <v>7.2999999999999995E-2</v>
      </c>
      <c r="J258" s="182">
        <v>7.2999999999999995E-2</v>
      </c>
      <c r="K258" s="198">
        <v>769000</v>
      </c>
      <c r="L258" s="198">
        <v>400000</v>
      </c>
      <c r="M258" s="190">
        <f t="shared" si="42"/>
        <v>1.9225000000000001</v>
      </c>
    </row>
    <row r="259" spans="1:15" s="196" customFormat="1" ht="12.75" customHeight="1" outlineLevel="1">
      <c r="A259" s="297" t="s">
        <v>121</v>
      </c>
      <c r="B259" s="298"/>
      <c r="C259" s="298"/>
      <c r="D259" s="298"/>
      <c r="E259" s="298"/>
      <c r="F259" s="298"/>
      <c r="G259" s="298"/>
      <c r="H259" s="298"/>
      <c r="I259" s="298"/>
      <c r="J259" s="299"/>
      <c r="K259" s="199">
        <f>SUM(K253:K258)</f>
        <v>15134000</v>
      </c>
      <c r="L259" s="199">
        <f>SUM(L253:L258)</f>
        <v>5100000</v>
      </c>
      <c r="M259" s="195"/>
    </row>
    <row r="260" spans="1:15" s="71" customFormat="1" ht="12.75" customHeight="1" outlineLevel="1">
      <c r="A260" s="178">
        <v>44732</v>
      </c>
      <c r="B260" s="171">
        <v>44734</v>
      </c>
      <c r="C260" s="200" t="s">
        <v>160</v>
      </c>
      <c r="D260" s="201" t="s">
        <v>203</v>
      </c>
      <c r="E260" s="171">
        <v>45458</v>
      </c>
      <c r="F260" s="182">
        <v>5.5E-2</v>
      </c>
      <c r="G260" s="182"/>
      <c r="H260" s="182"/>
      <c r="I260" s="179"/>
      <c r="J260" s="179"/>
      <c r="K260" s="202">
        <v>13912484</v>
      </c>
      <c r="L260" s="202">
        <v>13912484</v>
      </c>
      <c r="M260" s="183">
        <f>IF(L260=0,0,K260/L260)</f>
        <v>1</v>
      </c>
    </row>
    <row r="261" spans="1:15" s="71" customFormat="1" ht="12.75" customHeight="1" outlineLevel="1">
      <c r="A261" s="291" t="s">
        <v>121</v>
      </c>
      <c r="B261" s="292"/>
      <c r="C261" s="292"/>
      <c r="D261" s="292"/>
      <c r="E261" s="292"/>
      <c r="F261" s="292"/>
      <c r="G261" s="292"/>
      <c r="H261" s="292"/>
      <c r="I261" s="292"/>
      <c r="J261" s="293"/>
      <c r="K261" s="194">
        <f>K260</f>
        <v>13912484</v>
      </c>
      <c r="L261" s="194">
        <f>L260</f>
        <v>13912484</v>
      </c>
      <c r="M261" s="203"/>
    </row>
    <row r="262" spans="1:15" s="71" customFormat="1" ht="12.75" customHeight="1" outlineLevel="1">
      <c r="A262" s="178">
        <v>44733</v>
      </c>
      <c r="B262" s="178">
        <v>44735</v>
      </c>
      <c r="C262" s="174" t="s">
        <v>136</v>
      </c>
      <c r="D262" s="192" t="s">
        <v>204</v>
      </c>
      <c r="E262" s="171">
        <v>44825</v>
      </c>
      <c r="F262" s="182" t="s">
        <v>128</v>
      </c>
      <c r="G262" s="182">
        <v>0.02</v>
      </c>
      <c r="H262" s="182">
        <v>2.1499999999999998E-2</v>
      </c>
      <c r="I262" s="179">
        <v>2.05615E-2</v>
      </c>
      <c r="J262" s="179">
        <v>2.1000000000000001E-2</v>
      </c>
      <c r="K262" s="173">
        <v>2615000</v>
      </c>
      <c r="L262" s="184">
        <v>2000000</v>
      </c>
      <c r="M262" s="188">
        <f>IF(L262=0,0,K262/L262)</f>
        <v>1.3075000000000001</v>
      </c>
    </row>
    <row r="263" spans="1:15" s="71" customFormat="1" ht="12.75" customHeight="1" outlineLevel="1">
      <c r="A263" s="178"/>
      <c r="B263" s="171"/>
      <c r="C263" s="174"/>
      <c r="D263" s="192" t="s">
        <v>205</v>
      </c>
      <c r="E263" s="171">
        <v>45099</v>
      </c>
      <c r="F263" s="182" t="s">
        <v>128</v>
      </c>
      <c r="G263" s="182">
        <v>2.8500000000000001E-2</v>
      </c>
      <c r="H263" s="182">
        <v>3.1899999999999998E-2</v>
      </c>
      <c r="I263" s="182">
        <v>3.04135E-2</v>
      </c>
      <c r="J263" s="179">
        <v>3.1899999999999998E-2</v>
      </c>
      <c r="K263" s="173">
        <v>2485000</v>
      </c>
      <c r="L263" s="184">
        <v>2485000</v>
      </c>
      <c r="M263" s="183">
        <f t="shared" ref="M263:M268" si="43">IF(L263=0,0,K263/L263)</f>
        <v>1</v>
      </c>
    </row>
    <row r="264" spans="1:15" s="71" customFormat="1" ht="12.75" customHeight="1" outlineLevel="1">
      <c r="A264" s="169"/>
      <c r="B264" s="169"/>
      <c r="C264" s="169"/>
      <c r="D264" s="192" t="s">
        <v>138</v>
      </c>
      <c r="E264" s="171">
        <v>46492</v>
      </c>
      <c r="F264" s="182">
        <v>5.1249999999999997E-2</v>
      </c>
      <c r="G264" s="182">
        <v>6.5000000000000002E-2</v>
      </c>
      <c r="H264" s="182">
        <v>7.0999999999999994E-2</v>
      </c>
      <c r="I264" s="179">
        <v>6.6599199999999997E-2</v>
      </c>
      <c r="J264" s="179">
        <v>6.7500000000000004E-2</v>
      </c>
      <c r="K264" s="173">
        <v>8002000</v>
      </c>
      <c r="L264" s="184">
        <v>3400000</v>
      </c>
      <c r="M264" s="183">
        <f t="shared" si="43"/>
        <v>2.3535294117647059</v>
      </c>
    </row>
    <row r="265" spans="1:15" s="71" customFormat="1" ht="12.75" customHeight="1" outlineLevel="1">
      <c r="A265" s="169"/>
      <c r="B265" s="169"/>
      <c r="C265" s="169"/>
      <c r="D265" s="192" t="s">
        <v>139</v>
      </c>
      <c r="E265" s="171">
        <v>48319</v>
      </c>
      <c r="F265" s="182">
        <v>6.3750000000000001E-2</v>
      </c>
      <c r="G265" s="182">
        <v>7.4700000000000003E-2</v>
      </c>
      <c r="H265" s="182">
        <v>7.6899999999999996E-2</v>
      </c>
      <c r="I265" s="179">
        <v>7.5299699999999997E-2</v>
      </c>
      <c r="J265" s="179">
        <v>7.5499999999999998E-2</v>
      </c>
      <c r="K265" s="173">
        <v>17878400</v>
      </c>
      <c r="L265" s="184">
        <v>10850000</v>
      </c>
      <c r="M265" s="190">
        <f t="shared" si="43"/>
        <v>1.6477788018433179</v>
      </c>
    </row>
    <row r="266" spans="1:15" s="71" customFormat="1" ht="12.75" customHeight="1" outlineLevel="1">
      <c r="A266" s="169"/>
      <c r="B266" s="169"/>
      <c r="C266" s="169"/>
      <c r="D266" s="192" t="s">
        <v>144</v>
      </c>
      <c r="E266" s="171">
        <v>50236</v>
      </c>
      <c r="F266" s="182">
        <v>6.3750000000000001E-2</v>
      </c>
      <c r="G266" s="182">
        <v>7.4999999999999997E-2</v>
      </c>
      <c r="H266" s="182">
        <v>7.6999999999999999E-2</v>
      </c>
      <c r="I266" s="179">
        <v>0</v>
      </c>
      <c r="J266" s="179">
        <v>0</v>
      </c>
      <c r="K266" s="173">
        <v>2277000</v>
      </c>
      <c r="L266" s="189">
        <v>0</v>
      </c>
      <c r="M266" s="190">
        <f t="shared" si="43"/>
        <v>0</v>
      </c>
    </row>
    <row r="267" spans="1:15" s="71" customFormat="1" ht="12.75" customHeight="1" outlineLevel="1">
      <c r="A267" s="169"/>
      <c r="B267" s="169"/>
      <c r="C267" s="169"/>
      <c r="D267" s="192" t="s">
        <v>140</v>
      </c>
      <c r="E267" s="171">
        <v>52032</v>
      </c>
      <c r="F267" s="182">
        <v>7.1249999999999994E-2</v>
      </c>
      <c r="G267" s="182">
        <v>7.3999999999999996E-2</v>
      </c>
      <c r="H267" s="182">
        <v>7.8200000000000006E-2</v>
      </c>
      <c r="I267" s="179">
        <v>7.4795899999999998E-2</v>
      </c>
      <c r="J267" s="179">
        <v>7.4999999999999997E-2</v>
      </c>
      <c r="K267" s="173">
        <v>1624500</v>
      </c>
      <c r="L267" s="189">
        <v>140000</v>
      </c>
      <c r="M267" s="190">
        <f t="shared" si="43"/>
        <v>11.603571428571428</v>
      </c>
    </row>
    <row r="268" spans="1:15" s="71" customFormat="1" ht="12.75" customHeight="1" outlineLevel="1">
      <c r="A268" s="169"/>
      <c r="B268" s="169"/>
      <c r="C268" s="169"/>
      <c r="D268" s="192" t="s">
        <v>137</v>
      </c>
      <c r="E268" s="171">
        <v>55380</v>
      </c>
      <c r="F268" s="182">
        <v>6.8750000000000006E-2</v>
      </c>
      <c r="G268" s="182">
        <v>7.46E-2</v>
      </c>
      <c r="H268" s="182">
        <v>7.6399999999999996E-2</v>
      </c>
      <c r="I268" s="179">
        <v>0</v>
      </c>
      <c r="J268" s="179">
        <v>0</v>
      </c>
      <c r="K268" s="173">
        <v>182000</v>
      </c>
      <c r="L268" s="189">
        <v>0</v>
      </c>
      <c r="M268" s="190">
        <f t="shared" si="43"/>
        <v>0</v>
      </c>
    </row>
    <row r="269" spans="1:15" s="196" customFormat="1" ht="12" customHeight="1" outlineLevel="1">
      <c r="A269" s="291" t="s">
        <v>121</v>
      </c>
      <c r="B269" s="292"/>
      <c r="C269" s="292"/>
      <c r="D269" s="292"/>
      <c r="E269" s="292"/>
      <c r="F269" s="292"/>
      <c r="G269" s="292"/>
      <c r="H269" s="292"/>
      <c r="I269" s="292"/>
      <c r="J269" s="293"/>
      <c r="K269" s="194">
        <f>SUM(K262:K268)</f>
        <v>35063900</v>
      </c>
      <c r="L269" s="194">
        <f>SUM(L262:L268)</f>
        <v>18875000</v>
      </c>
      <c r="M269" s="195"/>
    </row>
    <row r="270" spans="1:15" s="213" customFormat="1" ht="17.25" customHeight="1" outlineLevel="1">
      <c r="A270" s="204">
        <v>44736</v>
      </c>
      <c r="B270" s="204">
        <v>44741</v>
      </c>
      <c r="C270" s="205" t="s">
        <v>166</v>
      </c>
      <c r="D270" s="206" t="s">
        <v>167</v>
      </c>
      <c r="E270" s="207">
        <v>46767</v>
      </c>
      <c r="F270" s="279">
        <v>5.6000000000000001E-2</v>
      </c>
      <c r="G270" s="209" t="s">
        <v>130</v>
      </c>
      <c r="H270" s="209" t="s">
        <v>130</v>
      </c>
      <c r="I270" s="210">
        <v>6.9500000000000006E-2</v>
      </c>
      <c r="J270" s="209" t="s">
        <v>130</v>
      </c>
      <c r="K270" s="211">
        <v>659917</v>
      </c>
      <c r="L270" s="211">
        <v>659917</v>
      </c>
      <c r="M270" s="212">
        <f t="shared" ref="M270" si="44">IF(L270=0,0,K270/L270)</f>
        <v>1</v>
      </c>
      <c r="O270" s="216"/>
    </row>
    <row r="271" spans="1:15" s="71" customFormat="1" ht="12.75" customHeight="1" outlineLevel="1">
      <c r="A271" s="169"/>
      <c r="B271" s="171"/>
      <c r="C271" s="174"/>
      <c r="D271" s="192" t="s">
        <v>233</v>
      </c>
      <c r="E271" s="171">
        <v>48228</v>
      </c>
      <c r="F271" s="182">
        <v>0.03</v>
      </c>
      <c r="G271" s="182"/>
      <c r="H271" s="182"/>
      <c r="I271" s="179">
        <v>4.7500000000000001E-2</v>
      </c>
      <c r="J271" s="179"/>
      <c r="K271" s="189" t="s">
        <v>278</v>
      </c>
      <c r="L271" s="189" t="s">
        <v>278</v>
      </c>
      <c r="M271" s="190"/>
    </row>
    <row r="272" spans="1:15" s="71" customFormat="1" ht="12.75" customHeight="1" outlineLevel="1">
      <c r="A272" s="169"/>
      <c r="B272" s="169"/>
      <c r="C272" s="174"/>
      <c r="D272" s="192"/>
      <c r="E272" s="171"/>
      <c r="F272" s="182"/>
      <c r="G272" s="182"/>
      <c r="H272" s="182"/>
      <c r="I272" s="179"/>
      <c r="J272" s="179"/>
      <c r="K272" s="189">
        <v>86930</v>
      </c>
      <c r="L272" s="189">
        <v>86930</v>
      </c>
      <c r="M272" s="190"/>
    </row>
    <row r="273" spans="1:13" s="215" customFormat="1" ht="13.5" customHeight="1" outlineLevel="1">
      <c r="A273" s="288" t="s">
        <v>121</v>
      </c>
      <c r="B273" s="289"/>
      <c r="C273" s="289"/>
      <c r="D273" s="289"/>
      <c r="E273" s="289"/>
      <c r="F273" s="289"/>
      <c r="G273" s="289"/>
      <c r="H273" s="289"/>
      <c r="I273" s="289"/>
      <c r="J273" s="290"/>
      <c r="K273" s="214">
        <f>SUM(K270,K272)</f>
        <v>746847</v>
      </c>
      <c r="L273" s="214">
        <f>SUM(L270,L272)</f>
        <v>746847</v>
      </c>
      <c r="M273" s="214"/>
    </row>
    <row r="274" spans="1:13" s="71" customFormat="1" ht="12.75" customHeight="1" outlineLevel="1">
      <c r="A274" s="178">
        <v>44740</v>
      </c>
      <c r="B274" s="178">
        <v>44742</v>
      </c>
      <c r="C274" s="174" t="s">
        <v>136</v>
      </c>
      <c r="D274" s="192" t="s">
        <v>208</v>
      </c>
      <c r="E274" s="171">
        <v>44908</v>
      </c>
      <c r="F274" s="182" t="s">
        <v>128</v>
      </c>
      <c r="G274" s="182">
        <v>2.9000000000000001E-2</v>
      </c>
      <c r="H274" s="182">
        <v>0.03</v>
      </c>
      <c r="I274" s="218" t="s">
        <v>130</v>
      </c>
      <c r="J274" s="218" t="s">
        <v>130</v>
      </c>
      <c r="K274" s="197">
        <v>300000</v>
      </c>
      <c r="M274" s="220" t="s">
        <v>130</v>
      </c>
    </row>
    <row r="275" spans="1:13" s="71" customFormat="1" ht="12.75" customHeight="1" outlineLevel="1">
      <c r="A275" s="178"/>
      <c r="B275" s="171"/>
      <c r="C275" s="174"/>
      <c r="D275" s="192" t="s">
        <v>145</v>
      </c>
      <c r="E275" s="171">
        <v>45488</v>
      </c>
      <c r="F275" s="182">
        <v>0.04</v>
      </c>
      <c r="G275" s="182">
        <v>5.1999999999999998E-2</v>
      </c>
      <c r="H275" s="182">
        <v>5.7000000000000002E-2</v>
      </c>
      <c r="I275" s="218">
        <v>5.2651499999999997E-2</v>
      </c>
      <c r="J275" s="218">
        <v>5.3499999999999999E-2</v>
      </c>
      <c r="K275" s="198">
        <v>5408000</v>
      </c>
      <c r="L275" s="219">
        <v>4150000</v>
      </c>
      <c r="M275" s="190">
        <f t="shared" ref="M275:M279" si="45">IF(L275=0,0,K275/L275)</f>
        <v>1.3031325301204819</v>
      </c>
    </row>
    <row r="276" spans="1:13" s="71" customFormat="1" ht="12.75" customHeight="1" outlineLevel="1">
      <c r="A276" s="169"/>
      <c r="B276" s="169"/>
      <c r="C276" s="169"/>
      <c r="D276" s="192" t="s">
        <v>146</v>
      </c>
      <c r="E276" s="171">
        <v>46218</v>
      </c>
      <c r="F276" s="182">
        <v>4.8750000000000002E-2</v>
      </c>
      <c r="G276" s="182">
        <v>5.9499999999999997E-2</v>
      </c>
      <c r="H276" s="182">
        <v>6.3E-2</v>
      </c>
      <c r="I276" s="182">
        <v>6.0710199999999999E-2</v>
      </c>
      <c r="J276" s="182">
        <v>6.1499999999999999E-2</v>
      </c>
      <c r="K276" s="198">
        <v>3070000</v>
      </c>
      <c r="L276" s="219">
        <v>2750000</v>
      </c>
      <c r="M276" s="190">
        <f t="shared" si="45"/>
        <v>1.1163636363636364</v>
      </c>
    </row>
    <row r="277" spans="1:13" s="71" customFormat="1" ht="12.75" customHeight="1" outlineLevel="1">
      <c r="A277" s="169"/>
      <c r="B277" s="169"/>
      <c r="C277" s="169"/>
      <c r="D277" s="71" t="s">
        <v>156</v>
      </c>
      <c r="E277" s="171">
        <v>46949</v>
      </c>
      <c r="F277" s="182">
        <v>5.8749999999999997E-2</v>
      </c>
      <c r="G277" s="182">
        <v>6.4799999999999996E-2</v>
      </c>
      <c r="H277" s="182">
        <v>6.8400000000000002E-2</v>
      </c>
      <c r="I277" s="182">
        <v>6.5453999999999998E-2</v>
      </c>
      <c r="J277" s="182">
        <v>6.6000000000000003E-2</v>
      </c>
      <c r="K277" s="198">
        <v>1319500</v>
      </c>
      <c r="L277" s="198">
        <v>45000</v>
      </c>
      <c r="M277" s="190">
        <f t="shared" si="45"/>
        <v>29.322222222222223</v>
      </c>
    </row>
    <row r="278" spans="1:13" s="71" customFormat="1" ht="12.75" customHeight="1" outlineLevel="1">
      <c r="A278" s="169"/>
      <c r="B278" s="169"/>
      <c r="C278" s="169"/>
      <c r="D278" s="192" t="s">
        <v>147</v>
      </c>
      <c r="E278" s="171">
        <v>49018</v>
      </c>
      <c r="F278" s="182">
        <v>6.3750000000000001E-2</v>
      </c>
      <c r="G278" s="182">
        <v>7.0999999999999994E-2</v>
      </c>
      <c r="H278" s="182">
        <v>7.4999999999999997E-2</v>
      </c>
      <c r="I278" s="182">
        <v>7.1442699999999998E-2</v>
      </c>
      <c r="J278" s="182">
        <v>7.1999999999999995E-2</v>
      </c>
      <c r="K278" s="198">
        <v>4785000</v>
      </c>
      <c r="L278" s="198">
        <v>700000</v>
      </c>
      <c r="M278" s="190">
        <f t="shared" si="45"/>
        <v>6.8357142857142854</v>
      </c>
    </row>
    <row r="279" spans="1:13" s="71" customFormat="1" ht="12.75" customHeight="1" outlineLevel="1">
      <c r="A279" s="169"/>
      <c r="B279" s="169"/>
      <c r="C279" s="169"/>
      <c r="D279" s="192" t="s">
        <v>150</v>
      </c>
      <c r="E279" s="171">
        <v>53858</v>
      </c>
      <c r="F279" s="182">
        <v>6.7500000000000004E-2</v>
      </c>
      <c r="G279" s="182">
        <v>7.2499999999999995E-2</v>
      </c>
      <c r="H279" s="182">
        <v>7.3899999999999993E-2</v>
      </c>
      <c r="I279" s="182">
        <v>7.2499999999999995E-2</v>
      </c>
      <c r="J279" s="182">
        <v>7.2499999999999995E-2</v>
      </c>
      <c r="K279" s="198">
        <v>895300</v>
      </c>
      <c r="L279" s="198">
        <v>155000</v>
      </c>
      <c r="M279" s="190">
        <f t="shared" si="45"/>
        <v>5.7761290322580647</v>
      </c>
    </row>
    <row r="280" spans="1:13" s="196" customFormat="1" ht="12.75" customHeight="1" outlineLevel="1">
      <c r="A280" s="297" t="s">
        <v>121</v>
      </c>
      <c r="B280" s="298"/>
      <c r="C280" s="298"/>
      <c r="D280" s="298"/>
      <c r="E280" s="298"/>
      <c r="F280" s="298"/>
      <c r="G280" s="298"/>
      <c r="H280" s="298"/>
      <c r="I280" s="298"/>
      <c r="J280" s="299"/>
      <c r="K280" s="199">
        <f>SUM(K274:K279)</f>
        <v>15777800</v>
      </c>
      <c r="L280" s="199">
        <f>SUM(L275:L279)</f>
        <v>7800000</v>
      </c>
      <c r="M280" s="195"/>
    </row>
    <row r="281" spans="1:13" s="71" customFormat="1" ht="12.75" customHeight="1" outlineLevel="1">
      <c r="A281" s="178">
        <v>44740</v>
      </c>
      <c r="B281" s="171">
        <v>44742</v>
      </c>
      <c r="C281" s="200" t="s">
        <v>166</v>
      </c>
      <c r="D281" s="201" t="s">
        <v>209</v>
      </c>
      <c r="E281" s="171">
        <v>46568</v>
      </c>
      <c r="F281" s="182">
        <v>5.5E-2</v>
      </c>
      <c r="G281" s="182"/>
      <c r="H281" s="182"/>
      <c r="I281" s="179"/>
      <c r="J281" s="179"/>
      <c r="K281" s="202">
        <v>50000</v>
      </c>
      <c r="L281" s="202">
        <v>50000</v>
      </c>
      <c r="M281" s="183">
        <f>IF(L281=0,0,K281/L281)</f>
        <v>1</v>
      </c>
    </row>
    <row r="282" spans="1:13" s="71" customFormat="1" ht="12.75" customHeight="1" outlineLevel="1">
      <c r="A282" s="291" t="s">
        <v>121</v>
      </c>
      <c r="B282" s="292"/>
      <c r="C282" s="292"/>
      <c r="D282" s="292"/>
      <c r="E282" s="292"/>
      <c r="F282" s="292"/>
      <c r="G282" s="292"/>
      <c r="H282" s="292"/>
      <c r="I282" s="292"/>
      <c r="J282" s="293"/>
      <c r="K282" s="194">
        <f>K281</f>
        <v>50000</v>
      </c>
      <c r="L282" s="194">
        <f>L281</f>
        <v>50000</v>
      </c>
      <c r="M282" s="203"/>
    </row>
    <row r="283" spans="1:13" s="180" customFormat="1" ht="12.75" customHeight="1">
      <c r="A283" s="294" t="s">
        <v>193</v>
      </c>
      <c r="B283" s="295"/>
      <c r="C283" s="295"/>
      <c r="D283" s="295"/>
      <c r="E283" s="295"/>
      <c r="F283" s="295"/>
      <c r="G283" s="295"/>
      <c r="H283" s="295"/>
      <c r="I283" s="295"/>
      <c r="J283" s="296"/>
      <c r="K283" s="193">
        <f>SUM(K230,K243,K252,K259,K261,K269,K280,K282,K235,K273)</f>
        <v>200224359.80000001</v>
      </c>
      <c r="L283" s="193">
        <f>SUM(L230,L243,L252,L259,L261,L269,L280,L282,L235,L273)</f>
        <v>127265859.8</v>
      </c>
      <c r="M283" s="181"/>
    </row>
    <row r="284" spans="1:13" s="180" customFormat="1" ht="12.75" customHeight="1">
      <c r="A284" s="294" t="s">
        <v>213</v>
      </c>
      <c r="B284" s="295"/>
      <c r="C284" s="295"/>
      <c r="D284" s="295"/>
      <c r="E284" s="295"/>
      <c r="F284" s="295"/>
      <c r="G284" s="295"/>
      <c r="H284" s="295"/>
      <c r="I284" s="295"/>
      <c r="J284" s="296"/>
      <c r="K284" s="193">
        <f>SUM(K223,K283)</f>
        <v>1097816531.8</v>
      </c>
      <c r="L284" s="193">
        <f>SUM(L223,L283)</f>
        <v>488477531.80000001</v>
      </c>
      <c r="M284" s="181"/>
    </row>
    <row r="285" spans="1:13" s="213" customFormat="1" ht="17.25" customHeight="1" outlineLevel="1">
      <c r="A285" s="204">
        <v>44741</v>
      </c>
      <c r="B285" s="204">
        <v>44743</v>
      </c>
      <c r="C285" s="205" t="s">
        <v>166</v>
      </c>
      <c r="D285" s="206" t="s">
        <v>281</v>
      </c>
      <c r="E285" s="207">
        <v>46569</v>
      </c>
      <c r="F285" s="287" t="s">
        <v>285</v>
      </c>
      <c r="G285" s="209" t="s">
        <v>130</v>
      </c>
      <c r="H285" s="209" t="s">
        <v>130</v>
      </c>
      <c r="I285" s="243">
        <v>1</v>
      </c>
      <c r="J285" s="209" t="s">
        <v>130</v>
      </c>
      <c r="K285" s="211">
        <v>5467230</v>
      </c>
      <c r="L285" s="211">
        <v>5467230</v>
      </c>
      <c r="M285" s="212">
        <f t="shared" ref="M285:M288" si="46">IF(L285=0,0,K285/L285)</f>
        <v>1</v>
      </c>
    </row>
    <row r="286" spans="1:13" s="213" customFormat="1" ht="16.5" customHeight="1" outlineLevel="1">
      <c r="A286" s="244"/>
      <c r="B286" s="244"/>
      <c r="C286" s="245"/>
      <c r="D286" s="206" t="s">
        <v>282</v>
      </c>
      <c r="E286" s="207">
        <v>46935</v>
      </c>
      <c r="F286" s="287"/>
      <c r="G286" s="209" t="s">
        <v>130</v>
      </c>
      <c r="H286" s="209" t="s">
        <v>130</v>
      </c>
      <c r="I286" s="243">
        <v>1</v>
      </c>
      <c r="J286" s="209" t="s">
        <v>130</v>
      </c>
      <c r="K286" s="211">
        <v>5467240</v>
      </c>
      <c r="L286" s="211">
        <v>5467240</v>
      </c>
      <c r="M286" s="212">
        <f t="shared" si="46"/>
        <v>1</v>
      </c>
    </row>
    <row r="287" spans="1:13" s="249" customFormat="1" ht="17.25" customHeight="1" outlineLevel="1">
      <c r="A287" s="246"/>
      <c r="B287" s="246"/>
      <c r="C287" s="247"/>
      <c r="D287" s="206" t="s">
        <v>283</v>
      </c>
      <c r="E287" s="207">
        <v>47300</v>
      </c>
      <c r="F287" s="287"/>
      <c r="G287" s="209" t="s">
        <v>130</v>
      </c>
      <c r="H287" s="209" t="s">
        <v>130</v>
      </c>
      <c r="I287" s="243">
        <v>1</v>
      </c>
      <c r="J287" s="209" t="s">
        <v>130</v>
      </c>
      <c r="K287" s="211">
        <v>5467240</v>
      </c>
      <c r="L287" s="211">
        <v>5467240</v>
      </c>
      <c r="M287" s="248">
        <f t="shared" si="46"/>
        <v>1</v>
      </c>
    </row>
    <row r="288" spans="1:13" s="213" customFormat="1" ht="16.5" customHeight="1" outlineLevel="1">
      <c r="A288" s="244"/>
      <c r="B288" s="244"/>
      <c r="C288" s="245"/>
      <c r="D288" s="206" t="s">
        <v>284</v>
      </c>
      <c r="E288" s="207">
        <v>47665</v>
      </c>
      <c r="F288" s="287"/>
      <c r="G288" s="209" t="s">
        <v>130</v>
      </c>
      <c r="H288" s="209" t="s">
        <v>130</v>
      </c>
      <c r="I288" s="243">
        <v>1</v>
      </c>
      <c r="J288" s="209" t="s">
        <v>130</v>
      </c>
      <c r="K288" s="211">
        <v>5467240</v>
      </c>
      <c r="L288" s="211">
        <v>5467240</v>
      </c>
      <c r="M288" s="212">
        <f t="shared" si="46"/>
        <v>1</v>
      </c>
    </row>
    <row r="289" spans="1:13" s="215" customFormat="1" ht="12.75" customHeight="1" outlineLevel="1">
      <c r="A289" s="288" t="s">
        <v>121</v>
      </c>
      <c r="B289" s="289"/>
      <c r="C289" s="289"/>
      <c r="D289" s="289"/>
      <c r="E289" s="289"/>
      <c r="F289" s="289"/>
      <c r="G289" s="289"/>
      <c r="H289" s="289"/>
      <c r="I289" s="289"/>
      <c r="J289" s="290"/>
      <c r="K289" s="214">
        <f>SUM(K285:K288)</f>
        <v>21868950</v>
      </c>
      <c r="L289" s="214">
        <f>SUM(L285:L288)</f>
        <v>21868950</v>
      </c>
      <c r="M289" s="214"/>
    </row>
    <row r="290" spans="1:13" s="71" customFormat="1" ht="12.75" customHeight="1" outlineLevel="1">
      <c r="A290" s="178">
        <v>44747</v>
      </c>
      <c r="B290" s="178">
        <v>44749</v>
      </c>
      <c r="C290" s="174" t="s">
        <v>136</v>
      </c>
      <c r="D290" s="192" t="s">
        <v>207</v>
      </c>
      <c r="E290" s="171">
        <v>44839</v>
      </c>
      <c r="F290" s="182" t="s">
        <v>128</v>
      </c>
      <c r="G290" s="182">
        <v>0.02</v>
      </c>
      <c r="H290" s="182">
        <v>2.5000000000000001E-2</v>
      </c>
      <c r="I290" s="179">
        <v>2.1132999999999999E-2</v>
      </c>
      <c r="J290" s="179">
        <v>2.1999999999999999E-2</v>
      </c>
      <c r="K290" s="173">
        <v>1025000</v>
      </c>
      <c r="L290" s="184">
        <v>1000000</v>
      </c>
      <c r="M290" s="188">
        <f>IF(L290=0,0,K290/L290)</f>
        <v>1.0249999999999999</v>
      </c>
    </row>
    <row r="291" spans="1:13" s="71" customFormat="1" ht="12.75" customHeight="1" outlineLevel="1">
      <c r="A291" s="178"/>
      <c r="B291" s="171"/>
      <c r="C291" s="174"/>
      <c r="D291" s="192" t="s">
        <v>175</v>
      </c>
      <c r="E291" s="171">
        <v>45015</v>
      </c>
      <c r="F291" s="182" t="s">
        <v>128</v>
      </c>
      <c r="G291" s="182">
        <v>3.0499999999999999E-2</v>
      </c>
      <c r="H291" s="182">
        <v>3.5000000000000003E-2</v>
      </c>
      <c r="I291" s="182">
        <v>3.1298199999999998E-2</v>
      </c>
      <c r="J291" s="179">
        <v>3.2000000000000001E-2</v>
      </c>
      <c r="K291" s="173">
        <v>2320000</v>
      </c>
      <c r="L291" s="184">
        <v>2000000</v>
      </c>
      <c r="M291" s="183">
        <f t="shared" ref="M291:M296" si="47">IF(L291=0,0,K291/L291)</f>
        <v>1.1599999999999999</v>
      </c>
    </row>
    <row r="292" spans="1:13" s="71" customFormat="1" ht="12.75" customHeight="1" outlineLevel="1">
      <c r="A292" s="169"/>
      <c r="B292" s="169"/>
      <c r="C292" s="169"/>
      <c r="D292" s="192" t="s">
        <v>138</v>
      </c>
      <c r="E292" s="171">
        <v>46492</v>
      </c>
      <c r="F292" s="182">
        <v>5.1249999999999997E-2</v>
      </c>
      <c r="G292" s="182">
        <v>6.13E-2</v>
      </c>
      <c r="H292" s="182">
        <v>6.5000000000000002E-2</v>
      </c>
      <c r="I292" s="179">
        <v>6.1994800000000003E-2</v>
      </c>
      <c r="J292" s="179">
        <v>6.2399999999999997E-2</v>
      </c>
      <c r="K292" s="173">
        <v>5495000</v>
      </c>
      <c r="L292" s="184">
        <v>3700000</v>
      </c>
      <c r="M292" s="183">
        <f t="shared" si="47"/>
        <v>1.4851351351351352</v>
      </c>
    </row>
    <row r="293" spans="1:13" s="71" customFormat="1" ht="12.75" customHeight="1" outlineLevel="1">
      <c r="A293" s="169"/>
      <c r="B293" s="169"/>
      <c r="C293" s="169"/>
      <c r="D293" s="192" t="s">
        <v>139</v>
      </c>
      <c r="E293" s="171">
        <v>48319</v>
      </c>
      <c r="F293" s="182">
        <v>6.3750000000000001E-2</v>
      </c>
      <c r="G293" s="182">
        <v>7.2400000000000006E-2</v>
      </c>
      <c r="H293" s="182">
        <v>7.5499999999999998E-2</v>
      </c>
      <c r="I293" s="179">
        <v>7.3199200000000006E-2</v>
      </c>
      <c r="J293" s="179">
        <v>7.3400000000000007E-2</v>
      </c>
      <c r="K293" s="173">
        <v>13659100</v>
      </c>
      <c r="L293" s="184">
        <v>5500000</v>
      </c>
      <c r="M293" s="190">
        <f t="shared" si="47"/>
        <v>2.4834727272727273</v>
      </c>
    </row>
    <row r="294" spans="1:13" s="71" customFormat="1" ht="12.75" customHeight="1" outlineLevel="1">
      <c r="A294" s="169"/>
      <c r="B294" s="169"/>
      <c r="C294" s="169"/>
      <c r="D294" s="192" t="s">
        <v>144</v>
      </c>
      <c r="E294" s="171">
        <v>50236</v>
      </c>
      <c r="F294" s="182">
        <v>6.3750000000000001E-2</v>
      </c>
      <c r="G294" s="182">
        <v>7.2900000000000006E-2</v>
      </c>
      <c r="H294" s="182">
        <v>7.5499999999999998E-2</v>
      </c>
      <c r="I294" s="179">
        <v>7.3574000000000001E-2</v>
      </c>
      <c r="J294" s="179">
        <v>7.3800000000000004E-2</v>
      </c>
      <c r="K294" s="173">
        <v>1494800</v>
      </c>
      <c r="L294" s="189">
        <v>350000</v>
      </c>
      <c r="M294" s="190">
        <f t="shared" si="47"/>
        <v>4.2708571428571425</v>
      </c>
    </row>
    <row r="295" spans="1:13" s="71" customFormat="1" ht="12.75" customHeight="1" outlineLevel="1">
      <c r="A295" s="169"/>
      <c r="B295" s="169"/>
      <c r="C295" s="169"/>
      <c r="D295" s="192" t="s">
        <v>140</v>
      </c>
      <c r="E295" s="171">
        <v>52032</v>
      </c>
      <c r="F295" s="182">
        <v>7.1249999999999994E-2</v>
      </c>
      <c r="G295" s="182">
        <v>7.22E-2</v>
      </c>
      <c r="H295" s="182">
        <v>7.5999999999999998E-2</v>
      </c>
      <c r="I295" s="179">
        <v>7.3284000000000002E-2</v>
      </c>
      <c r="J295" s="179">
        <v>7.3899999999999993E-2</v>
      </c>
      <c r="K295" s="173">
        <v>1692800</v>
      </c>
      <c r="L295" s="189">
        <v>1100000</v>
      </c>
      <c r="M295" s="190">
        <f t="shared" si="47"/>
        <v>1.538909090909091</v>
      </c>
    </row>
    <row r="296" spans="1:13" s="71" customFormat="1" ht="12.75" customHeight="1" outlineLevel="1">
      <c r="A296" s="169"/>
      <c r="B296" s="169"/>
      <c r="C296" s="169"/>
      <c r="D296" s="192" t="s">
        <v>137</v>
      </c>
      <c r="E296" s="171">
        <v>55380</v>
      </c>
      <c r="F296" s="182">
        <v>6.8750000000000006E-2</v>
      </c>
      <c r="G296" s="182">
        <v>7.3899999999999993E-2</v>
      </c>
      <c r="H296" s="182">
        <v>7.5499999999999998E-2</v>
      </c>
      <c r="I296" s="179">
        <v>7.4272400000000002E-2</v>
      </c>
      <c r="J296" s="179">
        <v>7.4499999999999997E-2</v>
      </c>
      <c r="K296" s="173">
        <v>293600</v>
      </c>
      <c r="L296" s="189">
        <v>150000</v>
      </c>
      <c r="M296" s="190">
        <f t="shared" si="47"/>
        <v>1.9573333333333334</v>
      </c>
    </row>
    <row r="297" spans="1:13" s="196" customFormat="1" ht="12.75" customHeight="1" outlineLevel="1">
      <c r="A297" s="291" t="s">
        <v>121</v>
      </c>
      <c r="B297" s="292"/>
      <c r="C297" s="292"/>
      <c r="D297" s="292"/>
      <c r="E297" s="292"/>
      <c r="F297" s="292"/>
      <c r="G297" s="292"/>
      <c r="H297" s="292"/>
      <c r="I297" s="292"/>
      <c r="J297" s="293"/>
      <c r="K297" s="194">
        <f>SUM(K290:K296)</f>
        <v>25980300</v>
      </c>
      <c r="L297" s="194">
        <f>SUM(L290:L296)</f>
        <v>13800000</v>
      </c>
      <c r="M297" s="195"/>
    </row>
    <row r="298" spans="1:13" s="71" customFormat="1" ht="12.75" customHeight="1" outlineLevel="1">
      <c r="A298" s="178">
        <v>44754</v>
      </c>
      <c r="B298" s="178">
        <v>44756</v>
      </c>
      <c r="C298" s="174" t="s">
        <v>136</v>
      </c>
      <c r="D298" s="192" t="s">
        <v>215</v>
      </c>
      <c r="E298" s="171">
        <v>44936</v>
      </c>
      <c r="F298" s="182" t="s">
        <v>128</v>
      </c>
      <c r="G298" s="182">
        <v>2.35E-2</v>
      </c>
      <c r="H298" s="182">
        <v>2.35E-2</v>
      </c>
      <c r="I298" s="182">
        <v>2.35E-2</v>
      </c>
      <c r="J298" s="182">
        <v>2.35E-2</v>
      </c>
      <c r="K298" s="197">
        <v>150000</v>
      </c>
      <c r="L298" s="197">
        <v>150000</v>
      </c>
      <c r="M298" s="190">
        <f t="shared" ref="M298:M305" si="48">IF(L298=0,0,K298/L298)</f>
        <v>1</v>
      </c>
    </row>
    <row r="299" spans="1:13" s="71" customFormat="1" ht="12.75" customHeight="1" outlineLevel="1">
      <c r="A299" s="178"/>
      <c r="B299" s="171"/>
      <c r="C299" s="174"/>
      <c r="D299" s="192" t="s">
        <v>145</v>
      </c>
      <c r="E299" s="171">
        <v>45488</v>
      </c>
      <c r="F299" s="182">
        <v>0.04</v>
      </c>
      <c r="G299" s="182">
        <v>5.2999999999999999E-2</v>
      </c>
      <c r="H299" s="182">
        <v>0.06</v>
      </c>
      <c r="I299" s="182">
        <v>5.3516500000000002E-2</v>
      </c>
      <c r="J299" s="218">
        <v>5.3999999999999999E-2</v>
      </c>
      <c r="K299" s="198">
        <v>8000000</v>
      </c>
      <c r="L299" s="219">
        <v>5100000</v>
      </c>
      <c r="M299" s="190">
        <f t="shared" si="48"/>
        <v>1.5686274509803921</v>
      </c>
    </row>
    <row r="300" spans="1:13" s="71" customFormat="1" ht="12.75" customHeight="1" outlineLevel="1">
      <c r="A300" s="169"/>
      <c r="B300" s="169"/>
      <c r="C300" s="169"/>
      <c r="D300" s="192" t="s">
        <v>146</v>
      </c>
      <c r="E300" s="171">
        <v>46218</v>
      </c>
      <c r="F300" s="182">
        <v>4.8750000000000002E-2</v>
      </c>
      <c r="G300" s="182">
        <v>6.0499999999999998E-2</v>
      </c>
      <c r="H300" s="182">
        <v>6.4000000000000001E-2</v>
      </c>
      <c r="I300" s="233">
        <v>6.1255299999999999E-2</v>
      </c>
      <c r="J300" s="182">
        <v>6.13E-2</v>
      </c>
      <c r="K300" s="198">
        <v>1239000</v>
      </c>
      <c r="L300" s="219">
        <v>500000</v>
      </c>
      <c r="M300" s="190">
        <f t="shared" si="48"/>
        <v>2.4780000000000002</v>
      </c>
    </row>
    <row r="301" spans="1:13" s="71" customFormat="1" ht="12.75" customHeight="1" outlineLevel="1">
      <c r="A301" s="169"/>
      <c r="B301" s="169"/>
      <c r="C301" s="169"/>
      <c r="D301" s="192" t="s">
        <v>147</v>
      </c>
      <c r="E301" s="171">
        <v>49018</v>
      </c>
      <c r="F301" s="182">
        <v>6.3750000000000001E-2</v>
      </c>
      <c r="G301" s="182">
        <v>7.2099999999999997E-2</v>
      </c>
      <c r="H301" s="182">
        <v>7.5700000000000003E-2</v>
      </c>
      <c r="I301" s="233">
        <v>7.2392399999999996E-2</v>
      </c>
      <c r="J301" s="182">
        <v>7.2599999999999998E-2</v>
      </c>
      <c r="K301" s="198">
        <v>2330500</v>
      </c>
      <c r="L301" s="198">
        <v>75000</v>
      </c>
      <c r="M301" s="190">
        <f t="shared" si="48"/>
        <v>31.073333333333334</v>
      </c>
    </row>
    <row r="302" spans="1:13" s="71" customFormat="1" ht="12.75" customHeight="1" outlineLevel="1">
      <c r="A302" s="169"/>
      <c r="B302" s="169"/>
      <c r="C302" s="169"/>
      <c r="D302" s="192" t="s">
        <v>149</v>
      </c>
      <c r="E302" s="171">
        <v>50936</v>
      </c>
      <c r="F302" s="182">
        <v>6.5000000000000002E-2</v>
      </c>
      <c r="G302" s="182">
        <v>7.2300000000000003E-2</v>
      </c>
      <c r="H302" s="182">
        <v>7.4800000000000005E-2</v>
      </c>
      <c r="I302" s="233">
        <v>7.2885699999999998E-2</v>
      </c>
      <c r="J302" s="182">
        <v>7.3300000000000004E-2</v>
      </c>
      <c r="K302" s="198">
        <v>515000</v>
      </c>
      <c r="L302" s="198">
        <v>100000</v>
      </c>
      <c r="M302" s="190">
        <f t="shared" si="48"/>
        <v>5.15</v>
      </c>
    </row>
    <row r="303" spans="1:13" s="71" customFormat="1" ht="12.75" customHeight="1" outlineLevel="1">
      <c r="A303" s="169"/>
      <c r="B303" s="169"/>
      <c r="C303" s="169"/>
      <c r="D303" s="192" t="s">
        <v>150</v>
      </c>
      <c r="E303" s="171">
        <v>53858</v>
      </c>
      <c r="F303" s="182">
        <v>6.7500000000000004E-2</v>
      </c>
      <c r="G303" s="182">
        <v>7.2999999999999995E-2</v>
      </c>
      <c r="H303" s="182">
        <v>7.4999999999999997E-2</v>
      </c>
      <c r="I303" s="233">
        <v>7.3361399999999993E-2</v>
      </c>
      <c r="J303" s="182">
        <v>7.3700000000000002E-2</v>
      </c>
      <c r="K303" s="198">
        <v>516400</v>
      </c>
      <c r="L303" s="198">
        <v>100000</v>
      </c>
      <c r="M303" s="190">
        <f t="shared" si="48"/>
        <v>5.1639999999999997</v>
      </c>
    </row>
    <row r="304" spans="1:13" s="196" customFormat="1" ht="12.75" customHeight="1" outlineLevel="1">
      <c r="A304" s="297" t="s">
        <v>121</v>
      </c>
      <c r="B304" s="298"/>
      <c r="C304" s="298"/>
      <c r="D304" s="298"/>
      <c r="E304" s="298"/>
      <c r="F304" s="298"/>
      <c r="G304" s="298"/>
      <c r="H304" s="298"/>
      <c r="I304" s="298"/>
      <c r="J304" s="299"/>
      <c r="K304" s="199">
        <f>SUM(K298:K303)</f>
        <v>12750900</v>
      </c>
      <c r="L304" s="199">
        <f>SUM(L298:L303)</f>
        <v>6025000</v>
      </c>
      <c r="M304" s="195"/>
    </row>
    <row r="305" spans="1:13" s="196" customFormat="1" ht="12.75" customHeight="1" outlineLevel="1">
      <c r="A305" s="178">
        <v>44753</v>
      </c>
      <c r="B305" s="178">
        <v>44755</v>
      </c>
      <c r="C305" s="174" t="s">
        <v>160</v>
      </c>
      <c r="D305" s="260" t="s">
        <v>243</v>
      </c>
      <c r="E305" s="171">
        <v>45483</v>
      </c>
      <c r="F305" s="182">
        <v>5.0500000000000003E-2</v>
      </c>
      <c r="G305" s="250"/>
      <c r="H305" s="250"/>
      <c r="I305" s="250"/>
      <c r="J305" s="251"/>
      <c r="K305" s="252">
        <v>38253</v>
      </c>
      <c r="L305" s="252">
        <v>38253</v>
      </c>
      <c r="M305" s="190">
        <f t="shared" si="48"/>
        <v>1</v>
      </c>
    </row>
    <row r="306" spans="1:13" s="196" customFormat="1" ht="12.75" customHeight="1" outlineLevel="1">
      <c r="A306" s="297" t="s">
        <v>121</v>
      </c>
      <c r="B306" s="298"/>
      <c r="C306" s="298"/>
      <c r="D306" s="298"/>
      <c r="E306" s="298"/>
      <c r="F306" s="298"/>
      <c r="G306" s="298"/>
      <c r="H306" s="298"/>
      <c r="I306" s="298"/>
      <c r="J306" s="299"/>
      <c r="K306" s="199">
        <f>SUM(K305)</f>
        <v>38253</v>
      </c>
      <c r="L306" s="199">
        <f>SUM(L305)</f>
        <v>38253</v>
      </c>
      <c r="M306" s="195"/>
    </row>
    <row r="307" spans="1:13" s="71" customFormat="1" ht="12.75" customHeight="1" outlineLevel="1">
      <c r="A307" s="178">
        <v>44761</v>
      </c>
      <c r="B307" s="178">
        <v>44763</v>
      </c>
      <c r="C307" s="174" t="s">
        <v>136</v>
      </c>
      <c r="D307" s="192" t="s">
        <v>216</v>
      </c>
      <c r="E307" s="171">
        <v>44853</v>
      </c>
      <c r="F307" s="182" t="s">
        <v>128</v>
      </c>
      <c r="G307" s="182">
        <v>2.1999999999999999E-2</v>
      </c>
      <c r="H307" s="182">
        <v>2.4E-2</v>
      </c>
      <c r="I307" s="179">
        <v>2.2499999999999999E-2</v>
      </c>
      <c r="J307" s="179">
        <v>2.3E-2</v>
      </c>
      <c r="K307" s="173">
        <v>500000</v>
      </c>
      <c r="L307" s="184">
        <v>450000</v>
      </c>
      <c r="M307" s="188">
        <f>IF(L307=0,0,K307/L307)</f>
        <v>1.1111111111111112</v>
      </c>
    </row>
    <row r="308" spans="1:13" s="71" customFormat="1" ht="12.75" customHeight="1" outlineLevel="1">
      <c r="A308" s="178"/>
      <c r="B308" s="171"/>
      <c r="C308" s="174"/>
      <c r="D308" s="192" t="s">
        <v>217</v>
      </c>
      <c r="E308" s="171">
        <v>45127</v>
      </c>
      <c r="F308" s="182" t="s">
        <v>128</v>
      </c>
      <c r="G308" s="182">
        <v>3.2500000000000001E-2</v>
      </c>
      <c r="H308" s="182">
        <v>3.2500000000000001E-2</v>
      </c>
      <c r="I308" s="182">
        <v>3.2500000000000001E-2</v>
      </c>
      <c r="J308" s="179">
        <v>3.2500000000000001E-2</v>
      </c>
      <c r="K308" s="173">
        <v>5060000</v>
      </c>
      <c r="L308" s="184">
        <v>20000</v>
      </c>
      <c r="M308" s="183">
        <f t="shared" ref="M308:M313" si="49">IF(L308=0,0,K308/L308)</f>
        <v>253</v>
      </c>
    </row>
    <row r="309" spans="1:13" s="71" customFormat="1" ht="12.75" customHeight="1" outlineLevel="1">
      <c r="A309" s="169"/>
      <c r="B309" s="169"/>
      <c r="C309" s="169"/>
      <c r="D309" s="192" t="s">
        <v>138</v>
      </c>
      <c r="E309" s="171">
        <v>46492</v>
      </c>
      <c r="F309" s="182">
        <v>5.1249999999999997E-2</v>
      </c>
      <c r="G309" s="182">
        <v>6.4000000000000001E-2</v>
      </c>
      <c r="H309" s="182">
        <v>7.1400000000000005E-2</v>
      </c>
      <c r="I309" s="179">
        <v>6.5088999999999994E-2</v>
      </c>
      <c r="J309" s="179">
        <v>6.6000000000000003E-2</v>
      </c>
      <c r="K309" s="173">
        <v>4757500</v>
      </c>
      <c r="L309" s="184">
        <v>3950000</v>
      </c>
      <c r="M309" s="183">
        <f t="shared" si="49"/>
        <v>1.2044303797468354</v>
      </c>
    </row>
    <row r="310" spans="1:13" s="71" customFormat="1" ht="12.75" customHeight="1" outlineLevel="1">
      <c r="A310" s="169"/>
      <c r="B310" s="169"/>
      <c r="C310" s="169"/>
      <c r="D310" s="192" t="s">
        <v>139</v>
      </c>
      <c r="E310" s="171">
        <v>48319</v>
      </c>
      <c r="F310" s="182">
        <v>6.3750000000000001E-2</v>
      </c>
      <c r="G310" s="182">
        <v>7.3499999999999996E-2</v>
      </c>
      <c r="H310" s="182">
        <v>8.0500000000000002E-2</v>
      </c>
      <c r="I310" s="179">
        <v>7.4699299999999996E-2</v>
      </c>
      <c r="J310" s="179">
        <v>7.4899999999999994E-2</v>
      </c>
      <c r="K310" s="173">
        <v>15289100</v>
      </c>
      <c r="L310" s="184">
        <v>6350000</v>
      </c>
      <c r="M310" s="190">
        <f t="shared" si="49"/>
        <v>2.4077322834645671</v>
      </c>
    </row>
    <row r="311" spans="1:13" s="71" customFormat="1" ht="12.75" customHeight="1" outlineLevel="1">
      <c r="A311" s="169"/>
      <c r="B311" s="169"/>
      <c r="C311" s="169"/>
      <c r="D311" s="192" t="s">
        <v>144</v>
      </c>
      <c r="E311" s="171">
        <v>50236</v>
      </c>
      <c r="F311" s="182">
        <v>6.3750000000000001E-2</v>
      </c>
      <c r="G311" s="182">
        <v>7.3400000000000007E-2</v>
      </c>
      <c r="H311" s="182">
        <v>7.51E-2</v>
      </c>
      <c r="I311" s="179">
        <v>7.3967500000000005E-2</v>
      </c>
      <c r="J311" s="179">
        <v>7.4099999999999999E-2</v>
      </c>
      <c r="K311" s="173">
        <v>1190200</v>
      </c>
      <c r="L311" s="189">
        <v>150000</v>
      </c>
      <c r="M311" s="190">
        <f t="shared" si="49"/>
        <v>7.9346666666666668</v>
      </c>
    </row>
    <row r="312" spans="1:13" s="71" customFormat="1" ht="12.75" customHeight="1" outlineLevel="1">
      <c r="A312" s="169"/>
      <c r="B312" s="169"/>
      <c r="C312" s="169"/>
      <c r="D312" s="192" t="s">
        <v>140</v>
      </c>
      <c r="E312" s="171">
        <v>52032</v>
      </c>
      <c r="F312" s="182">
        <v>7.1249999999999994E-2</v>
      </c>
      <c r="G312" s="182">
        <v>7.4800000000000005E-2</v>
      </c>
      <c r="H312" s="182">
        <v>7.6700000000000004E-2</v>
      </c>
      <c r="I312" s="179">
        <v>7.5495499999999993E-2</v>
      </c>
      <c r="J312" s="179">
        <v>7.5700000000000003E-2</v>
      </c>
      <c r="K312" s="173">
        <v>2404400</v>
      </c>
      <c r="L312" s="189">
        <v>900000</v>
      </c>
      <c r="M312" s="190">
        <f t="shared" si="49"/>
        <v>2.6715555555555555</v>
      </c>
    </row>
    <row r="313" spans="1:13" s="71" customFormat="1" ht="12.75" customHeight="1" outlineLevel="1">
      <c r="A313" s="169"/>
      <c r="B313" s="169"/>
      <c r="C313" s="169"/>
      <c r="D313" s="192" t="s">
        <v>137</v>
      </c>
      <c r="E313" s="171">
        <v>55380</v>
      </c>
      <c r="F313" s="182">
        <v>6.8750000000000006E-2</v>
      </c>
      <c r="G313" s="182">
        <v>7.4700000000000003E-2</v>
      </c>
      <c r="H313" s="182">
        <v>7.6999999999999999E-2</v>
      </c>
      <c r="I313" s="179">
        <v>7.4771400000000002E-2</v>
      </c>
      <c r="J313" s="179">
        <v>7.4800000000000005E-2</v>
      </c>
      <c r="K313" s="173">
        <v>253300</v>
      </c>
      <c r="L313" s="189">
        <v>50000</v>
      </c>
      <c r="M313" s="190">
        <f t="shared" si="49"/>
        <v>5.0659999999999998</v>
      </c>
    </row>
    <row r="314" spans="1:13" s="196" customFormat="1" ht="12.75" customHeight="1" outlineLevel="1">
      <c r="A314" s="291" t="s">
        <v>121</v>
      </c>
      <c r="B314" s="292"/>
      <c r="C314" s="292"/>
      <c r="D314" s="292"/>
      <c r="E314" s="292"/>
      <c r="F314" s="292"/>
      <c r="G314" s="292"/>
      <c r="H314" s="292"/>
      <c r="I314" s="292"/>
      <c r="J314" s="293"/>
      <c r="K314" s="194">
        <f>SUM(K307:K313)</f>
        <v>29454500</v>
      </c>
      <c r="L314" s="194">
        <f>SUM(L307:L313)</f>
        <v>11870000</v>
      </c>
      <c r="M314" s="195"/>
    </row>
    <row r="315" spans="1:13" s="71" customFormat="1" ht="12.75" customHeight="1" outlineLevel="1">
      <c r="A315" s="178">
        <v>44768</v>
      </c>
      <c r="B315" s="178">
        <v>44770</v>
      </c>
      <c r="C315" s="174" t="s">
        <v>136</v>
      </c>
      <c r="D315" s="192" t="s">
        <v>215</v>
      </c>
      <c r="E315" s="171">
        <v>44936</v>
      </c>
      <c r="F315" s="182" t="s">
        <v>128</v>
      </c>
      <c r="G315" s="182">
        <v>2.8000000000000001E-2</v>
      </c>
      <c r="H315" s="182">
        <v>2.8500000000000001E-2</v>
      </c>
      <c r="I315" s="182">
        <v>2.8063500000000002E-2</v>
      </c>
      <c r="J315" s="182">
        <v>2.8500000000000001E-2</v>
      </c>
      <c r="K315" s="197">
        <v>433000</v>
      </c>
      <c r="L315" s="197">
        <v>433000</v>
      </c>
      <c r="M315" s="190">
        <f t="shared" ref="M315:M320" si="50">IF(L315=0,0,K315/L315)</f>
        <v>1</v>
      </c>
    </row>
    <row r="316" spans="1:13" s="71" customFormat="1" ht="12.75" customHeight="1" outlineLevel="1">
      <c r="A316" s="178"/>
      <c r="B316" s="171"/>
      <c r="C316" s="174"/>
      <c r="D316" s="192" t="s">
        <v>145</v>
      </c>
      <c r="E316" s="171">
        <v>45488</v>
      </c>
      <c r="F316" s="182">
        <v>0.04</v>
      </c>
      <c r="G316" s="182">
        <v>5.6300000000000003E-2</v>
      </c>
      <c r="H316" s="182">
        <v>0.06</v>
      </c>
      <c r="I316" s="182">
        <v>5.8306499999999997E-2</v>
      </c>
      <c r="J316" s="218">
        <v>5.8999999999999997E-2</v>
      </c>
      <c r="K316" s="198">
        <v>5585000</v>
      </c>
      <c r="L316" s="219">
        <v>4800000</v>
      </c>
      <c r="M316" s="190">
        <f t="shared" si="50"/>
        <v>1.1635416666666667</v>
      </c>
    </row>
    <row r="317" spans="1:13" s="71" customFormat="1" ht="12.75" customHeight="1" outlineLevel="1">
      <c r="A317" s="169"/>
      <c r="B317" s="169"/>
      <c r="C317" s="169"/>
      <c r="D317" s="192" t="s">
        <v>146</v>
      </c>
      <c r="E317" s="171">
        <v>46218</v>
      </c>
      <c r="F317" s="182">
        <v>4.8750000000000002E-2</v>
      </c>
      <c r="G317" s="182">
        <v>6.3E-2</v>
      </c>
      <c r="H317" s="182">
        <v>6.59E-2</v>
      </c>
      <c r="I317" s="233">
        <v>6.4826400000000006E-2</v>
      </c>
      <c r="J317" s="182">
        <v>6.5199999999999994E-2</v>
      </c>
      <c r="K317" s="198">
        <v>786000</v>
      </c>
      <c r="L317" s="219">
        <v>400000</v>
      </c>
      <c r="M317" s="190">
        <f t="shared" si="50"/>
        <v>1.9650000000000001</v>
      </c>
    </row>
    <row r="318" spans="1:13" s="71" customFormat="1" ht="12.75" customHeight="1" outlineLevel="1">
      <c r="A318" s="169"/>
      <c r="B318" s="169"/>
      <c r="C318" s="169"/>
      <c r="D318" s="71" t="s">
        <v>156</v>
      </c>
      <c r="E318" s="171">
        <v>46949</v>
      </c>
      <c r="F318" s="182">
        <v>5.8749999999999997E-2</v>
      </c>
      <c r="G318" s="182">
        <v>6.8000000000000005E-2</v>
      </c>
      <c r="H318" s="182">
        <v>7.4700000000000003E-2</v>
      </c>
      <c r="I318" s="234" t="s">
        <v>130</v>
      </c>
      <c r="J318" s="218" t="s">
        <v>130</v>
      </c>
      <c r="K318" s="198">
        <v>675500</v>
      </c>
      <c r="L318" s="219" t="s">
        <v>130</v>
      </c>
      <c r="M318" s="220" t="s">
        <v>130</v>
      </c>
    </row>
    <row r="319" spans="1:13" s="71" customFormat="1" ht="12.75" customHeight="1" outlineLevel="1">
      <c r="A319" s="169"/>
      <c r="B319" s="169"/>
      <c r="C319" s="169"/>
      <c r="D319" s="192" t="s">
        <v>147</v>
      </c>
      <c r="E319" s="171">
        <v>49018</v>
      </c>
      <c r="F319" s="182">
        <v>6.3750000000000001E-2</v>
      </c>
      <c r="G319" s="182">
        <v>7.3700000000000002E-2</v>
      </c>
      <c r="H319" s="182">
        <v>7.7499999999999999E-2</v>
      </c>
      <c r="I319" s="233">
        <v>7.3852399999999999E-2</v>
      </c>
      <c r="J319" s="182">
        <v>7.3999999999999996E-2</v>
      </c>
      <c r="K319" s="198">
        <v>2420000</v>
      </c>
      <c r="L319" s="198">
        <v>150000</v>
      </c>
      <c r="M319" s="190">
        <f t="shared" si="50"/>
        <v>16.133333333333333</v>
      </c>
    </row>
    <row r="320" spans="1:13" s="71" customFormat="1" ht="12.75" customHeight="1" outlineLevel="1">
      <c r="A320" s="169"/>
      <c r="B320" s="169"/>
      <c r="C320" s="169"/>
      <c r="D320" s="192" t="s">
        <v>150</v>
      </c>
      <c r="E320" s="171">
        <v>53858</v>
      </c>
      <c r="F320" s="182">
        <v>6.7500000000000004E-2</v>
      </c>
      <c r="G320" s="182">
        <v>7.3400000000000007E-2</v>
      </c>
      <c r="H320" s="182">
        <v>7.6999999999999999E-2</v>
      </c>
      <c r="I320" s="233">
        <v>7.4068300000000004E-2</v>
      </c>
      <c r="J320" s="182">
        <v>7.4499999999999997E-2</v>
      </c>
      <c r="K320" s="198">
        <v>867300</v>
      </c>
      <c r="L320" s="198">
        <v>90000</v>
      </c>
      <c r="M320" s="190">
        <f t="shared" si="50"/>
        <v>9.6366666666666667</v>
      </c>
    </row>
    <row r="321" spans="1:13" s="196" customFormat="1" ht="12.75" customHeight="1" outlineLevel="1">
      <c r="A321" s="297" t="s">
        <v>121</v>
      </c>
      <c r="B321" s="298"/>
      <c r="C321" s="298"/>
      <c r="D321" s="298"/>
      <c r="E321" s="298"/>
      <c r="F321" s="298"/>
      <c r="G321" s="298"/>
      <c r="H321" s="298"/>
      <c r="I321" s="298"/>
      <c r="J321" s="299"/>
      <c r="K321" s="199">
        <f>SUM(K315:K320)</f>
        <v>10766800</v>
      </c>
      <c r="L321" s="199">
        <f>SUM(L315:L320)</f>
        <v>5873000</v>
      </c>
      <c r="M321" s="195"/>
    </row>
    <row r="322" spans="1:13" s="71" customFormat="1" ht="12.75" customHeight="1" outlineLevel="1">
      <c r="A322" s="178">
        <v>44769</v>
      </c>
      <c r="B322" s="178">
        <v>44770</v>
      </c>
      <c r="C322" s="174" t="s">
        <v>136</v>
      </c>
      <c r="D322" s="192" t="s">
        <v>145</v>
      </c>
      <c r="E322" s="171">
        <v>45488</v>
      </c>
      <c r="F322" s="182">
        <v>0.04</v>
      </c>
      <c r="G322" s="218" t="s">
        <v>218</v>
      </c>
      <c r="H322" s="218" t="s">
        <v>218</v>
      </c>
      <c r="I322" s="218" t="s">
        <v>218</v>
      </c>
      <c r="J322" s="218" t="s">
        <v>218</v>
      </c>
      <c r="K322" s="198">
        <v>201300</v>
      </c>
      <c r="L322" s="198">
        <v>201300</v>
      </c>
      <c r="M322" s="190">
        <f>IF(L322=0,0,K322/L322)</f>
        <v>1</v>
      </c>
    </row>
    <row r="323" spans="1:13" s="71" customFormat="1" ht="12.75" customHeight="1" outlineLevel="1">
      <c r="A323" s="178"/>
      <c r="B323" s="171"/>
      <c r="C323" s="174"/>
      <c r="D323" s="192" t="s">
        <v>146</v>
      </c>
      <c r="E323" s="171">
        <v>46218</v>
      </c>
      <c r="F323" s="182">
        <v>4.8750000000000002E-2</v>
      </c>
      <c r="G323" s="218" t="s">
        <v>218</v>
      </c>
      <c r="H323" s="218" t="s">
        <v>218</v>
      </c>
      <c r="I323" s="218" t="s">
        <v>218</v>
      </c>
      <c r="J323" s="218" t="s">
        <v>218</v>
      </c>
      <c r="K323" s="198">
        <v>300000</v>
      </c>
      <c r="L323" s="198">
        <v>300000</v>
      </c>
      <c r="M323" s="190">
        <f>IF(L323=0,0,K323/L323)</f>
        <v>1</v>
      </c>
    </row>
    <row r="324" spans="1:13" s="71" customFormat="1" ht="12.75" customHeight="1" outlineLevel="1">
      <c r="A324" s="169"/>
      <c r="B324" s="169"/>
      <c r="C324" s="169"/>
      <c r="D324" s="192" t="s">
        <v>147</v>
      </c>
      <c r="E324" s="171">
        <v>49018</v>
      </c>
      <c r="F324" s="182">
        <v>6.3750000000000001E-2</v>
      </c>
      <c r="G324" s="218" t="s">
        <v>218</v>
      </c>
      <c r="H324" s="218" t="s">
        <v>218</v>
      </c>
      <c r="I324" s="218" t="s">
        <v>218</v>
      </c>
      <c r="J324" s="218" t="s">
        <v>218</v>
      </c>
      <c r="K324" s="198">
        <v>642000</v>
      </c>
      <c r="L324" s="198">
        <v>642000</v>
      </c>
      <c r="M324" s="190">
        <f>IF(L324=0,0,K324/L324)</f>
        <v>1</v>
      </c>
    </row>
    <row r="325" spans="1:13" s="71" customFormat="1" ht="12.75" customHeight="1" outlineLevel="1">
      <c r="A325" s="169"/>
      <c r="B325" s="169"/>
      <c r="C325" s="169"/>
      <c r="D325" s="192" t="s">
        <v>150</v>
      </c>
      <c r="E325" s="171">
        <v>53858</v>
      </c>
      <c r="F325" s="182">
        <v>6.7500000000000004E-2</v>
      </c>
      <c r="G325" s="218" t="s">
        <v>218</v>
      </c>
      <c r="H325" s="218" t="s">
        <v>218</v>
      </c>
      <c r="I325" s="218" t="s">
        <v>218</v>
      </c>
      <c r="J325" s="218" t="s">
        <v>218</v>
      </c>
      <c r="K325" s="198">
        <v>600000</v>
      </c>
      <c r="L325" s="198">
        <v>600000</v>
      </c>
      <c r="M325" s="190">
        <f>IF(L325=0,0,K325/L325)</f>
        <v>1</v>
      </c>
    </row>
    <row r="326" spans="1:13" s="196" customFormat="1" ht="12.75" customHeight="1" outlineLevel="1">
      <c r="A326" s="297" t="s">
        <v>121</v>
      </c>
      <c r="B326" s="298"/>
      <c r="C326" s="298"/>
      <c r="D326" s="298"/>
      <c r="E326" s="298"/>
      <c r="F326" s="298"/>
      <c r="G326" s="298"/>
      <c r="H326" s="298"/>
      <c r="I326" s="298"/>
      <c r="J326" s="299"/>
      <c r="K326" s="199">
        <f>SUM(K322:K325)</f>
        <v>1743300</v>
      </c>
      <c r="L326" s="199">
        <f>SUM(L322:L325)</f>
        <v>1743300</v>
      </c>
      <c r="M326" s="195"/>
    </row>
    <row r="327" spans="1:13" s="180" customFormat="1">
      <c r="A327" s="294" t="s">
        <v>206</v>
      </c>
      <c r="B327" s="295"/>
      <c r="C327" s="295"/>
      <c r="D327" s="295"/>
      <c r="E327" s="295"/>
      <c r="F327" s="295"/>
      <c r="G327" s="295"/>
      <c r="H327" s="295"/>
      <c r="I327" s="295"/>
      <c r="J327" s="296"/>
      <c r="K327" s="193">
        <f>SUM(K289,K297,K304,K306,K314,K321,K326)</f>
        <v>102603003</v>
      </c>
      <c r="L327" s="193">
        <f>SUM(L289,L297,L304,L306,L314,L321,L326)</f>
        <v>61218503</v>
      </c>
      <c r="M327" s="181"/>
    </row>
    <row r="328" spans="1:13" s="180" customFormat="1" ht="12.75" customHeight="1">
      <c r="A328" s="294" t="s">
        <v>219</v>
      </c>
      <c r="B328" s="295"/>
      <c r="C328" s="295"/>
      <c r="D328" s="295"/>
      <c r="E328" s="295"/>
      <c r="F328" s="295"/>
      <c r="G328" s="295"/>
      <c r="H328" s="295"/>
      <c r="I328" s="295"/>
      <c r="J328" s="296"/>
      <c r="K328" s="193">
        <f>SUM(K284,K327)</f>
        <v>1200419534.8</v>
      </c>
      <c r="L328" s="193">
        <f>SUM(L284,L327)</f>
        <v>549696034.79999995</v>
      </c>
      <c r="M328" s="181"/>
    </row>
    <row r="329" spans="1:13" s="71" customFormat="1" ht="12.75" customHeight="1" outlineLevel="1">
      <c r="A329" s="178">
        <v>44775</v>
      </c>
      <c r="B329" s="178">
        <v>44777</v>
      </c>
      <c r="C329" s="174" t="s">
        <v>136</v>
      </c>
      <c r="D329" s="192" t="s">
        <v>221</v>
      </c>
      <c r="E329" s="171">
        <v>44867</v>
      </c>
      <c r="F329" s="182" t="s">
        <v>128</v>
      </c>
      <c r="G329" s="182">
        <v>2.3E-2</v>
      </c>
      <c r="H329" s="182">
        <v>2.5000000000000001E-2</v>
      </c>
      <c r="I329" s="179">
        <v>2.3E-2</v>
      </c>
      <c r="J329" s="179">
        <v>2.3E-2</v>
      </c>
      <c r="K329" s="173">
        <v>340000</v>
      </c>
      <c r="L329" s="184">
        <v>300000</v>
      </c>
      <c r="M329" s="188">
        <f>IF(L329=0,0,K329/L329)</f>
        <v>1.1333333333333333</v>
      </c>
    </row>
    <row r="330" spans="1:13" s="71" customFormat="1" ht="12.75" customHeight="1" outlineLevel="1">
      <c r="A330" s="178"/>
      <c r="B330" s="171"/>
      <c r="C330" s="174"/>
      <c r="D330" s="192" t="s">
        <v>185</v>
      </c>
      <c r="E330" s="171">
        <v>45029</v>
      </c>
      <c r="F330" s="182" t="s">
        <v>128</v>
      </c>
      <c r="G330" s="182">
        <v>3.2300000000000002E-2</v>
      </c>
      <c r="H330" s="182">
        <v>3.6999999999999998E-2</v>
      </c>
      <c r="I330" s="182">
        <v>3.2971100000000003E-2</v>
      </c>
      <c r="J330" s="179">
        <v>3.4799999999999998E-2</v>
      </c>
      <c r="K330" s="173">
        <v>2575000</v>
      </c>
      <c r="L330" s="184">
        <v>2400000</v>
      </c>
      <c r="M330" s="183">
        <f t="shared" ref="M330:M335" si="51">IF(L330=0,0,K330/L330)</f>
        <v>1.0729166666666667</v>
      </c>
    </row>
    <row r="331" spans="1:13" s="71" customFormat="1" ht="12.75" customHeight="1" outlineLevel="1">
      <c r="A331" s="169"/>
      <c r="B331" s="169"/>
      <c r="C331" s="169"/>
      <c r="D331" s="192" t="s">
        <v>138</v>
      </c>
      <c r="E331" s="171">
        <v>46492</v>
      </c>
      <c r="F331" s="182">
        <v>5.1249999999999997E-2</v>
      </c>
      <c r="G331" s="182">
        <v>6.3700000000000007E-2</v>
      </c>
      <c r="H331" s="182">
        <v>6.6000000000000003E-2</v>
      </c>
      <c r="I331" s="179">
        <v>6.4198900000000003E-2</v>
      </c>
      <c r="J331" s="179">
        <v>6.4500000000000002E-2</v>
      </c>
      <c r="K331" s="173">
        <v>10732000</v>
      </c>
      <c r="L331" s="184">
        <v>4300000</v>
      </c>
      <c r="M331" s="183">
        <f t="shared" si="51"/>
        <v>2.4958139534883719</v>
      </c>
    </row>
    <row r="332" spans="1:13" s="71" customFormat="1" ht="12.75" customHeight="1" outlineLevel="1">
      <c r="A332" s="169"/>
      <c r="B332" s="169"/>
      <c r="C332" s="169"/>
      <c r="D332" s="192" t="s">
        <v>139</v>
      </c>
      <c r="E332" s="171">
        <v>48319</v>
      </c>
      <c r="F332" s="182">
        <v>6.3750000000000001E-2</v>
      </c>
      <c r="G332" s="182">
        <v>7.0900000000000005E-2</v>
      </c>
      <c r="H332" s="182">
        <v>7.4499999999999997E-2</v>
      </c>
      <c r="I332" s="179">
        <v>7.1698600000000001E-2</v>
      </c>
      <c r="J332" s="179">
        <v>7.22E-2</v>
      </c>
      <c r="K332" s="173">
        <v>17770900</v>
      </c>
      <c r="L332" s="184">
        <v>11150000</v>
      </c>
      <c r="M332" s="190">
        <f t="shared" si="51"/>
        <v>1.5938026905829596</v>
      </c>
    </row>
    <row r="333" spans="1:13" s="71" customFormat="1" ht="12.75" customHeight="1" outlineLevel="1">
      <c r="A333" s="169"/>
      <c r="B333" s="169"/>
      <c r="C333" s="169"/>
      <c r="D333" s="192" t="s">
        <v>144</v>
      </c>
      <c r="E333" s="171">
        <v>50236</v>
      </c>
      <c r="F333" s="182">
        <v>6.3750000000000001E-2</v>
      </c>
      <c r="G333" s="182">
        <v>6.8699999999999997E-2</v>
      </c>
      <c r="H333" s="182">
        <v>7.2900000000000006E-2</v>
      </c>
      <c r="I333" s="179">
        <v>6.8733299999999997E-2</v>
      </c>
      <c r="J333" s="179">
        <v>7.0000000000000007E-2</v>
      </c>
      <c r="K333" s="173">
        <v>1263000</v>
      </c>
      <c r="L333" s="189">
        <v>150000</v>
      </c>
      <c r="M333" s="190">
        <f t="shared" si="51"/>
        <v>8.42</v>
      </c>
    </row>
    <row r="334" spans="1:13" s="71" customFormat="1" ht="12.75" customHeight="1" outlineLevel="1">
      <c r="A334" s="169"/>
      <c r="B334" s="169"/>
      <c r="C334" s="169"/>
      <c r="D334" s="192" t="s">
        <v>140</v>
      </c>
      <c r="E334" s="171">
        <v>52032</v>
      </c>
      <c r="F334" s="182">
        <v>7.1249999999999994E-2</v>
      </c>
      <c r="G334" s="182">
        <v>7.2300000000000003E-2</v>
      </c>
      <c r="H334" s="182">
        <v>7.3999999999999996E-2</v>
      </c>
      <c r="I334" s="179">
        <v>7.2494699999999995E-2</v>
      </c>
      <c r="J334" s="179">
        <v>7.2700000000000001E-2</v>
      </c>
      <c r="K334" s="173">
        <v>3934900</v>
      </c>
      <c r="L334" s="189">
        <v>750000</v>
      </c>
      <c r="M334" s="190">
        <f t="shared" si="51"/>
        <v>5.2465333333333337</v>
      </c>
    </row>
    <row r="335" spans="1:13" s="71" customFormat="1" ht="12.75" customHeight="1" outlineLevel="1">
      <c r="A335" s="169"/>
      <c r="B335" s="169"/>
      <c r="C335" s="169"/>
      <c r="D335" s="192" t="s">
        <v>137</v>
      </c>
      <c r="E335" s="171">
        <v>55380</v>
      </c>
      <c r="F335" s="182">
        <v>6.8750000000000006E-2</v>
      </c>
      <c r="G335" s="182">
        <v>7.3400000000000007E-2</v>
      </c>
      <c r="H335" s="182">
        <v>7.5300000000000006E-2</v>
      </c>
      <c r="I335" s="179">
        <v>7.3464299999999996E-2</v>
      </c>
      <c r="J335" s="179">
        <v>7.3499999999999996E-2</v>
      </c>
      <c r="K335" s="173">
        <v>297400</v>
      </c>
      <c r="L335" s="189">
        <v>10000</v>
      </c>
      <c r="M335" s="190">
        <f t="shared" si="51"/>
        <v>29.74</v>
      </c>
    </row>
    <row r="336" spans="1:13" s="196" customFormat="1" ht="12.75" customHeight="1" outlineLevel="1">
      <c r="A336" s="291" t="s">
        <v>121</v>
      </c>
      <c r="B336" s="292"/>
      <c r="C336" s="292"/>
      <c r="D336" s="292"/>
      <c r="E336" s="292"/>
      <c r="F336" s="292"/>
      <c r="G336" s="292"/>
      <c r="H336" s="292"/>
      <c r="I336" s="292"/>
      <c r="J336" s="293"/>
      <c r="K336" s="194">
        <f>SUM(K329:K335)</f>
        <v>36913200</v>
      </c>
      <c r="L336" s="194">
        <f>SUM(L329:L335)</f>
        <v>19060000</v>
      </c>
      <c r="M336" s="195"/>
    </row>
    <row r="337" spans="1:15" s="71" customFormat="1" ht="12.75" customHeight="1" outlineLevel="1">
      <c r="A337" s="178">
        <v>44782</v>
      </c>
      <c r="B337" s="178">
        <v>44784</v>
      </c>
      <c r="C337" s="174" t="s">
        <v>136</v>
      </c>
      <c r="D337" s="192" t="s">
        <v>222</v>
      </c>
      <c r="E337" s="171">
        <v>44936</v>
      </c>
      <c r="F337" s="182" t="s">
        <v>128</v>
      </c>
      <c r="G337" s="182">
        <v>2.8500000000000001E-2</v>
      </c>
      <c r="H337" s="182">
        <v>3.1300000000000001E-2</v>
      </c>
      <c r="I337" s="236">
        <v>2.8500000000000001E-2</v>
      </c>
      <c r="J337" s="227">
        <v>2.8500000000000001E-2</v>
      </c>
      <c r="K337" s="197">
        <v>1201600</v>
      </c>
      <c r="L337" s="197">
        <v>50000</v>
      </c>
      <c r="M337" s="190">
        <f t="shared" ref="M337:M342" si="52">IF(L337=0,0,K337/L337)</f>
        <v>24.032</v>
      </c>
    </row>
    <row r="338" spans="1:15" s="71" customFormat="1" ht="12.75" customHeight="1" outlineLevel="1">
      <c r="A338" s="178"/>
      <c r="B338" s="171"/>
      <c r="C338" s="174"/>
      <c r="D338" s="192" t="s">
        <v>145</v>
      </c>
      <c r="E338" s="171">
        <v>45488</v>
      </c>
      <c r="F338" s="182">
        <v>0.04</v>
      </c>
      <c r="G338" s="182">
        <v>5.6300000000000003E-2</v>
      </c>
      <c r="H338" s="182">
        <v>5.9400000000000001E-2</v>
      </c>
      <c r="I338" s="233">
        <v>5.6999800000000003E-2</v>
      </c>
      <c r="J338" s="182">
        <v>5.7599999999999998E-2</v>
      </c>
      <c r="K338" s="198">
        <v>15313000</v>
      </c>
      <c r="L338" s="219">
        <v>4450000</v>
      </c>
      <c r="M338" s="190">
        <f t="shared" si="52"/>
        <v>3.4411235955056179</v>
      </c>
    </row>
    <row r="339" spans="1:15" s="71" customFormat="1" ht="12.75" customHeight="1" outlineLevel="1">
      <c r="A339" s="169"/>
      <c r="B339" s="169"/>
      <c r="C339" s="169"/>
      <c r="D339" s="192" t="s">
        <v>146</v>
      </c>
      <c r="E339" s="171">
        <v>46218</v>
      </c>
      <c r="F339" s="182">
        <v>4.8750000000000002E-2</v>
      </c>
      <c r="G339" s="182">
        <v>6.3799999999999996E-2</v>
      </c>
      <c r="H339" s="182">
        <v>6.7799999999999999E-2</v>
      </c>
      <c r="I339" s="233">
        <v>6.4171900000000004E-2</v>
      </c>
      <c r="J339" s="179">
        <v>6.4500000000000002E-2</v>
      </c>
      <c r="K339" s="198">
        <v>7040000</v>
      </c>
      <c r="L339" s="219">
        <v>3000000</v>
      </c>
      <c r="M339" s="190">
        <f t="shared" si="52"/>
        <v>2.3466666666666667</v>
      </c>
    </row>
    <row r="340" spans="1:15" s="71" customFormat="1" ht="12.75" customHeight="1" outlineLevel="1">
      <c r="A340" s="169"/>
      <c r="B340" s="169"/>
      <c r="C340" s="169"/>
      <c r="D340" s="192" t="s">
        <v>147</v>
      </c>
      <c r="E340" s="171">
        <v>49018</v>
      </c>
      <c r="F340" s="182">
        <v>6.3750000000000001E-2</v>
      </c>
      <c r="G340" s="182">
        <v>7.2999999999999995E-2</v>
      </c>
      <c r="H340" s="182">
        <v>7.4999999999999997E-2</v>
      </c>
      <c r="I340" s="233">
        <v>7.3197200000000004E-2</v>
      </c>
      <c r="J340" s="179">
        <v>7.3400000000000007E-2</v>
      </c>
      <c r="K340" s="198">
        <v>6053600</v>
      </c>
      <c r="L340" s="219">
        <v>3100000</v>
      </c>
      <c r="M340" s="190">
        <f t="shared" si="52"/>
        <v>1.9527741935483871</v>
      </c>
    </row>
    <row r="341" spans="1:15" s="71" customFormat="1" ht="12.75" customHeight="1" outlineLevel="1">
      <c r="A341" s="169"/>
      <c r="B341" s="169"/>
      <c r="C341" s="169"/>
      <c r="D341" s="192" t="s">
        <v>149</v>
      </c>
      <c r="E341" s="171">
        <v>50936</v>
      </c>
      <c r="F341" s="182">
        <v>6.5000000000000002E-2</v>
      </c>
      <c r="G341" s="182">
        <v>7.1999999999999995E-2</v>
      </c>
      <c r="H341" s="182">
        <v>7.5499999999999998E-2</v>
      </c>
      <c r="I341" s="235" t="s">
        <v>130</v>
      </c>
      <c r="J341" s="237" t="s">
        <v>130</v>
      </c>
      <c r="K341" s="198">
        <v>538000</v>
      </c>
      <c r="L341" s="219" t="s">
        <v>130</v>
      </c>
      <c r="M341" s="220" t="s">
        <v>130</v>
      </c>
    </row>
    <row r="342" spans="1:15" s="71" customFormat="1" ht="12.75" customHeight="1" outlineLevel="1">
      <c r="A342" s="169"/>
      <c r="B342" s="169"/>
      <c r="C342" s="169"/>
      <c r="D342" s="192" t="s">
        <v>150</v>
      </c>
      <c r="E342" s="171">
        <v>53858</v>
      </c>
      <c r="F342" s="182">
        <v>6.7500000000000004E-2</v>
      </c>
      <c r="G342" s="182">
        <v>7.3499999999999996E-2</v>
      </c>
      <c r="H342" s="182">
        <v>7.5499999999999998E-2</v>
      </c>
      <c r="I342" s="233">
        <v>7.3785699999999996E-2</v>
      </c>
      <c r="J342" s="238">
        <v>7.3999999999999996E-2</v>
      </c>
      <c r="K342" s="198">
        <v>708400</v>
      </c>
      <c r="L342" s="198">
        <v>40000</v>
      </c>
      <c r="M342" s="190">
        <f t="shared" si="52"/>
        <v>17.71</v>
      </c>
    </row>
    <row r="343" spans="1:15" s="196" customFormat="1" ht="12.75" customHeight="1" outlineLevel="1">
      <c r="A343" s="297" t="s">
        <v>121</v>
      </c>
      <c r="B343" s="298"/>
      <c r="C343" s="298"/>
      <c r="D343" s="298"/>
      <c r="E343" s="298"/>
      <c r="F343" s="298"/>
      <c r="G343" s="298"/>
      <c r="H343" s="298"/>
      <c r="I343" s="298"/>
      <c r="J343" s="299"/>
      <c r="K343" s="199">
        <f>SUM(K337:K342)</f>
        <v>30854600</v>
      </c>
      <c r="L343" s="199">
        <f>SUM(L337:L342)</f>
        <v>10640000</v>
      </c>
      <c r="M343" s="195"/>
    </row>
    <row r="344" spans="1:15" s="71" customFormat="1" ht="12.75" customHeight="1" outlineLevel="1">
      <c r="A344" s="178">
        <v>44789</v>
      </c>
      <c r="B344" s="178">
        <v>44792</v>
      </c>
      <c r="C344" s="174" t="s">
        <v>136</v>
      </c>
      <c r="D344" s="192" t="s">
        <v>223</v>
      </c>
      <c r="E344" s="171">
        <v>44882</v>
      </c>
      <c r="F344" s="182" t="s">
        <v>128</v>
      </c>
      <c r="G344" s="182">
        <v>2.3E-2</v>
      </c>
      <c r="H344" s="182">
        <v>2.4E-2</v>
      </c>
      <c r="I344" s="179">
        <v>2.3174E-2</v>
      </c>
      <c r="J344" s="179">
        <v>2.35E-2</v>
      </c>
      <c r="K344" s="173">
        <v>2770000</v>
      </c>
      <c r="L344" s="184">
        <v>1000000</v>
      </c>
      <c r="M344" s="188">
        <f>IF(L344=0,0,K344/L344)</f>
        <v>2.77</v>
      </c>
    </row>
    <row r="345" spans="1:15" s="71" customFormat="1" ht="12.75" customHeight="1" outlineLevel="1">
      <c r="A345" s="178"/>
      <c r="B345" s="171"/>
      <c r="C345" s="174"/>
      <c r="D345" s="192" t="s">
        <v>224</v>
      </c>
      <c r="E345" s="171">
        <v>45156</v>
      </c>
      <c r="F345" s="182" t="s">
        <v>128</v>
      </c>
      <c r="G345" s="182">
        <v>3.5499999999999997E-2</v>
      </c>
      <c r="H345" s="182">
        <v>3.85E-2</v>
      </c>
      <c r="I345" s="182">
        <v>3.6797400000000001E-2</v>
      </c>
      <c r="J345" s="179">
        <v>3.7499999999999999E-2</v>
      </c>
      <c r="K345" s="173">
        <v>3850000</v>
      </c>
      <c r="L345" s="184">
        <v>1950000</v>
      </c>
      <c r="M345" s="183">
        <f t="shared" ref="M345:M350" si="53">IF(L345=0,0,K345/L345)</f>
        <v>1.9743589743589745</v>
      </c>
    </row>
    <row r="346" spans="1:15" s="71" customFormat="1" ht="12.75" customHeight="1" outlineLevel="1">
      <c r="A346" s="169"/>
      <c r="B346" s="169"/>
      <c r="C346" s="169"/>
      <c r="D346" s="192" t="s">
        <v>225</v>
      </c>
      <c r="E346" s="171">
        <v>46980</v>
      </c>
      <c r="F346" s="182">
        <v>6.3750000000000001E-2</v>
      </c>
      <c r="G346" s="182">
        <v>6.2799999999999995E-2</v>
      </c>
      <c r="H346" s="182">
        <v>6.8000000000000005E-2</v>
      </c>
      <c r="I346" s="179">
        <v>6.4149300000000006E-2</v>
      </c>
      <c r="J346" s="179">
        <v>6.4500000000000002E-2</v>
      </c>
      <c r="K346" s="173">
        <v>16669000</v>
      </c>
      <c r="L346" s="184">
        <v>5950000</v>
      </c>
      <c r="M346" s="183">
        <f t="shared" si="53"/>
        <v>2.8015126050420167</v>
      </c>
    </row>
    <row r="347" spans="1:15" s="71" customFormat="1" ht="12.75" customHeight="1" outlineLevel="1">
      <c r="A347" s="169"/>
      <c r="B347" s="169"/>
      <c r="C347" s="169"/>
      <c r="D347" s="192" t="s">
        <v>226</v>
      </c>
      <c r="E347" s="171">
        <v>48625</v>
      </c>
      <c r="F347" s="182">
        <v>7.0000000000000007E-2</v>
      </c>
      <c r="G347" s="182">
        <v>6.9000000000000006E-2</v>
      </c>
      <c r="H347" s="182">
        <v>7.3499999999999996E-2</v>
      </c>
      <c r="I347" s="179">
        <v>7.0597800000000002E-2</v>
      </c>
      <c r="J347" s="179">
        <v>7.0800000000000002E-2</v>
      </c>
      <c r="K347" s="173">
        <v>31783200</v>
      </c>
      <c r="L347" s="184">
        <v>9350000</v>
      </c>
      <c r="M347" s="190">
        <f t="shared" si="53"/>
        <v>3.3992727272727272</v>
      </c>
    </row>
    <row r="348" spans="1:15" s="71" customFormat="1" ht="12.75" customHeight="1" outlineLevel="1">
      <c r="A348" s="169"/>
      <c r="B348" s="169"/>
      <c r="C348" s="169"/>
      <c r="D348" s="192" t="s">
        <v>144</v>
      </c>
      <c r="E348" s="171">
        <v>50236</v>
      </c>
      <c r="F348" s="182">
        <v>6.3750000000000001E-2</v>
      </c>
      <c r="G348" s="182">
        <v>6.88E-2</v>
      </c>
      <c r="H348" s="182">
        <v>7.1599999999999997E-2</v>
      </c>
      <c r="I348" s="179">
        <v>6.9960400000000006E-2</v>
      </c>
      <c r="J348" s="179">
        <v>7.1400000000000005E-2</v>
      </c>
      <c r="K348" s="173">
        <v>734100</v>
      </c>
      <c r="L348" s="189">
        <v>650000</v>
      </c>
      <c r="M348" s="190">
        <f t="shared" si="53"/>
        <v>1.1293846153846154</v>
      </c>
    </row>
    <row r="349" spans="1:15" s="71" customFormat="1" ht="12.75" customHeight="1" outlineLevel="1">
      <c r="A349" s="169"/>
      <c r="B349" s="169"/>
      <c r="C349" s="169"/>
      <c r="D349" s="192" t="s">
        <v>227</v>
      </c>
      <c r="E349" s="171">
        <v>52397</v>
      </c>
      <c r="F349" s="182">
        <v>7.1249999999999994E-2</v>
      </c>
      <c r="G349" s="182">
        <v>7.0999999999999994E-2</v>
      </c>
      <c r="H349" s="182">
        <v>7.4200000000000002E-2</v>
      </c>
      <c r="I349" s="179">
        <v>7.1899599999999994E-2</v>
      </c>
      <c r="J349" s="179">
        <v>7.1999999999999995E-2</v>
      </c>
      <c r="K349" s="173">
        <v>15924700</v>
      </c>
      <c r="L349" s="189">
        <v>2550000</v>
      </c>
      <c r="M349" s="190">
        <f t="shared" si="53"/>
        <v>6.2449803921568625</v>
      </c>
    </row>
    <row r="350" spans="1:15" s="71" customFormat="1" ht="12.75" customHeight="1" outlineLevel="1">
      <c r="A350" s="169"/>
      <c r="B350" s="169"/>
      <c r="C350" s="169"/>
      <c r="D350" s="192" t="s">
        <v>137</v>
      </c>
      <c r="E350" s="171">
        <v>55380</v>
      </c>
      <c r="F350" s="182">
        <v>6.8750000000000006E-2</v>
      </c>
      <c r="G350" s="182">
        <v>7.2400000000000006E-2</v>
      </c>
      <c r="H350" s="182">
        <v>7.4399999999999994E-2</v>
      </c>
      <c r="I350" s="179">
        <v>7.3034100000000005E-2</v>
      </c>
      <c r="J350" s="179">
        <v>7.3300000000000004E-2</v>
      </c>
      <c r="K350" s="173">
        <v>424400</v>
      </c>
      <c r="L350" s="189">
        <v>200000</v>
      </c>
      <c r="M350" s="190">
        <f t="shared" si="53"/>
        <v>2.1219999999999999</v>
      </c>
    </row>
    <row r="351" spans="1:15" s="196" customFormat="1" ht="12.75" customHeight="1" outlineLevel="1">
      <c r="A351" s="291" t="s">
        <v>121</v>
      </c>
      <c r="B351" s="292"/>
      <c r="C351" s="292"/>
      <c r="D351" s="292"/>
      <c r="E351" s="292"/>
      <c r="F351" s="292"/>
      <c r="G351" s="292"/>
      <c r="H351" s="292"/>
      <c r="I351" s="292"/>
      <c r="J351" s="293"/>
      <c r="K351" s="194">
        <f>SUM(K344:K350)</f>
        <v>72155400</v>
      </c>
      <c r="L351" s="194">
        <f>SUM(L344:L350)</f>
        <v>21650000</v>
      </c>
      <c r="M351" s="195"/>
    </row>
    <row r="352" spans="1:15" s="213" customFormat="1" ht="17.25" customHeight="1" outlineLevel="1">
      <c r="A352" s="204">
        <v>44795</v>
      </c>
      <c r="B352" s="204">
        <v>44798</v>
      </c>
      <c r="C352" s="205" t="s">
        <v>166</v>
      </c>
      <c r="D352" s="206" t="s">
        <v>167</v>
      </c>
      <c r="E352" s="207">
        <v>46767</v>
      </c>
      <c r="F352" s="279">
        <v>5.6000000000000001E-2</v>
      </c>
      <c r="G352" s="209" t="s">
        <v>130</v>
      </c>
      <c r="H352" s="209" t="s">
        <v>130</v>
      </c>
      <c r="I352" s="210">
        <v>6.5000000000000002E-2</v>
      </c>
      <c r="J352" s="209" t="s">
        <v>130</v>
      </c>
      <c r="K352" s="211">
        <v>1551262</v>
      </c>
      <c r="L352" s="211">
        <v>1551262</v>
      </c>
      <c r="M352" s="212">
        <f t="shared" ref="M352" si="54">IF(L352=0,0,K352/L352)</f>
        <v>1</v>
      </c>
      <c r="O352" s="216"/>
    </row>
    <row r="353" spans="1:13" s="71" customFormat="1" ht="12.75" customHeight="1" outlineLevel="1">
      <c r="A353" s="169"/>
      <c r="B353" s="171"/>
      <c r="C353" s="174"/>
      <c r="D353" s="192" t="s">
        <v>233</v>
      </c>
      <c r="E353" s="171">
        <v>48228</v>
      </c>
      <c r="F353" s="182">
        <v>0.03</v>
      </c>
      <c r="G353" s="182"/>
      <c r="H353" s="182"/>
      <c r="I353" s="179">
        <v>4.1000000000000002E-2</v>
      </c>
      <c r="J353" s="179"/>
      <c r="K353" s="189" t="s">
        <v>279</v>
      </c>
      <c r="L353" s="189" t="s">
        <v>279</v>
      </c>
      <c r="M353" s="190"/>
    </row>
    <row r="354" spans="1:13" s="71" customFormat="1" ht="12.75" customHeight="1" outlineLevel="1">
      <c r="A354" s="169"/>
      <c r="B354" s="169"/>
      <c r="C354" s="174"/>
      <c r="D354" s="192"/>
      <c r="E354" s="171"/>
      <c r="F354" s="182"/>
      <c r="G354" s="182"/>
      <c r="H354" s="182"/>
      <c r="I354" s="179"/>
      <c r="J354" s="179"/>
      <c r="K354" s="189">
        <v>359973</v>
      </c>
      <c r="L354" s="189">
        <f>K354</f>
        <v>359973</v>
      </c>
      <c r="M354" s="190"/>
    </row>
    <row r="355" spans="1:13" s="215" customFormat="1" ht="13.5" customHeight="1" outlineLevel="1">
      <c r="A355" s="288" t="s">
        <v>121</v>
      </c>
      <c r="B355" s="289"/>
      <c r="C355" s="289"/>
      <c r="D355" s="289"/>
      <c r="E355" s="289"/>
      <c r="F355" s="289"/>
      <c r="G355" s="289"/>
      <c r="H355" s="289"/>
      <c r="I355" s="289"/>
      <c r="J355" s="290"/>
      <c r="K355" s="214">
        <f>SUM(K352,K354)</f>
        <v>1911235</v>
      </c>
      <c r="L355" s="214">
        <f>SUM(L352,L354)</f>
        <v>1911235</v>
      </c>
      <c r="M355" s="214"/>
    </row>
    <row r="356" spans="1:13" s="71" customFormat="1" ht="12" customHeight="1" outlineLevel="1">
      <c r="A356" s="178">
        <v>44796</v>
      </c>
      <c r="B356" s="178">
        <v>44798</v>
      </c>
      <c r="C356" s="174" t="s">
        <v>136</v>
      </c>
      <c r="D356" s="192" t="s">
        <v>222</v>
      </c>
      <c r="E356" s="171">
        <v>44964</v>
      </c>
      <c r="F356" s="182" t="s">
        <v>128</v>
      </c>
      <c r="G356" s="182">
        <v>3.0499999999999999E-2</v>
      </c>
      <c r="H356" s="182">
        <v>3.3399999999999999E-2</v>
      </c>
      <c r="I356" s="239" t="s">
        <v>130</v>
      </c>
      <c r="J356" s="240" t="s">
        <v>130</v>
      </c>
      <c r="K356" s="197">
        <v>1200000</v>
      </c>
      <c r="L356" s="242" t="s">
        <v>130</v>
      </c>
      <c r="M356" s="220" t="s">
        <v>130</v>
      </c>
    </row>
    <row r="357" spans="1:13" s="71" customFormat="1" ht="12.75" customHeight="1" outlineLevel="1">
      <c r="A357" s="178"/>
      <c r="B357" s="171"/>
      <c r="C357" s="174"/>
      <c r="D357" s="192" t="s">
        <v>228</v>
      </c>
      <c r="E357" s="171">
        <v>45884</v>
      </c>
      <c r="F357" s="182">
        <v>5.3749999999999999E-2</v>
      </c>
      <c r="G357" s="182">
        <v>5.6500000000000002E-2</v>
      </c>
      <c r="H357" s="182">
        <v>6.2399999999999997E-2</v>
      </c>
      <c r="I357" s="233">
        <v>5.7242000000000001E-2</v>
      </c>
      <c r="J357" s="182">
        <v>5.7700000000000001E-2</v>
      </c>
      <c r="K357" s="198">
        <v>8429000</v>
      </c>
      <c r="L357" s="219">
        <v>4050000</v>
      </c>
      <c r="M357" s="190">
        <f t="shared" ref="M357:M360" si="55">IF(L357=0,0,K357/L357)</f>
        <v>2.0812345679012347</v>
      </c>
    </row>
    <row r="358" spans="1:13" s="71" customFormat="1" ht="12.75" customHeight="1" outlineLevel="1">
      <c r="A358" s="169"/>
      <c r="B358" s="169"/>
      <c r="C358" s="169"/>
      <c r="D358" s="192" t="s">
        <v>50</v>
      </c>
      <c r="E358" s="171">
        <v>46402</v>
      </c>
      <c r="F358" s="182">
        <v>0.06</v>
      </c>
      <c r="G358" s="182">
        <v>6.4799999999999996E-2</v>
      </c>
      <c r="H358" s="182">
        <v>6.7900000000000002E-2</v>
      </c>
      <c r="I358" s="233">
        <v>6.4899999999999999E-2</v>
      </c>
      <c r="J358" s="179">
        <v>6.5000000000000002E-2</v>
      </c>
      <c r="K358" s="198">
        <v>2798500</v>
      </c>
      <c r="L358" s="219">
        <v>1250000</v>
      </c>
      <c r="M358" s="190">
        <f t="shared" si="55"/>
        <v>2.2387999999999999</v>
      </c>
    </row>
    <row r="359" spans="1:13" s="71" customFormat="1" ht="12.75" customHeight="1" outlineLevel="1">
      <c r="A359" s="169"/>
      <c r="B359" s="169"/>
      <c r="C359" s="169"/>
      <c r="D359" s="71" t="s">
        <v>156</v>
      </c>
      <c r="E359" s="171">
        <v>46949</v>
      </c>
      <c r="F359" s="182">
        <v>5.8749999999999997E-2</v>
      </c>
      <c r="G359" s="182">
        <v>6.5299999999999997E-2</v>
      </c>
      <c r="H359" s="182">
        <v>6.7000000000000004E-2</v>
      </c>
      <c r="I359" s="233">
        <v>6.5970000000000001E-2</v>
      </c>
      <c r="J359" s="179">
        <v>6.6000000000000003E-2</v>
      </c>
      <c r="K359" s="198">
        <v>4333500</v>
      </c>
      <c r="L359" s="219">
        <v>1500000</v>
      </c>
      <c r="M359" s="190">
        <f t="shared" si="55"/>
        <v>2.8889999999999998</v>
      </c>
    </row>
    <row r="360" spans="1:13" s="71" customFormat="1" ht="12.75" customHeight="1" outlineLevel="1">
      <c r="A360" s="169"/>
      <c r="B360" s="169"/>
      <c r="C360" s="169"/>
      <c r="D360" s="192" t="s">
        <v>147</v>
      </c>
      <c r="E360" s="171">
        <v>49018</v>
      </c>
      <c r="F360" s="182">
        <v>6.3750000000000001E-2</v>
      </c>
      <c r="G360" s="182">
        <v>7.1300000000000002E-2</v>
      </c>
      <c r="H360" s="182">
        <v>7.4499999999999997E-2</v>
      </c>
      <c r="I360" s="234">
        <v>7.1948200000000004E-2</v>
      </c>
      <c r="J360" s="241">
        <v>7.22E-2</v>
      </c>
      <c r="K360" s="198">
        <v>4783400</v>
      </c>
      <c r="L360" s="219">
        <v>200000</v>
      </c>
      <c r="M360" s="190">
        <f t="shared" si="55"/>
        <v>23.917000000000002</v>
      </c>
    </row>
    <row r="361" spans="1:13" s="71" customFormat="1" ht="12.75" customHeight="1" outlineLevel="1">
      <c r="A361" s="169"/>
      <c r="B361" s="169"/>
      <c r="C361" s="169"/>
      <c r="D361" s="192" t="s">
        <v>150</v>
      </c>
      <c r="E361" s="171">
        <v>53858</v>
      </c>
      <c r="F361" s="182">
        <v>6.7500000000000004E-2</v>
      </c>
      <c r="G361" s="182">
        <v>7.2800000000000004E-2</v>
      </c>
      <c r="H361" s="182">
        <v>7.4499999999999997E-2</v>
      </c>
      <c r="I361" s="233">
        <v>7.2800000000000004E-2</v>
      </c>
      <c r="J361" s="238">
        <v>7.2800000000000004E-2</v>
      </c>
      <c r="K361" s="198">
        <v>6996400</v>
      </c>
      <c r="L361" s="198">
        <v>5100000</v>
      </c>
      <c r="M361" s="190">
        <f t="shared" ref="M361" si="56">IF(L361=0,0,K361/L361)</f>
        <v>1.371843137254902</v>
      </c>
    </row>
    <row r="362" spans="1:13" s="196" customFormat="1" ht="12.75" customHeight="1" outlineLevel="1">
      <c r="A362" s="297" t="s">
        <v>121</v>
      </c>
      <c r="B362" s="298"/>
      <c r="C362" s="298"/>
      <c r="D362" s="298"/>
      <c r="E362" s="298"/>
      <c r="F362" s="298"/>
      <c r="G362" s="298"/>
      <c r="H362" s="298"/>
      <c r="I362" s="298"/>
      <c r="J362" s="299"/>
      <c r="K362" s="199">
        <f>SUM(K356:K361)</f>
        <v>28540800</v>
      </c>
      <c r="L362" s="199">
        <f>SUM(L356:L361)</f>
        <v>12100000</v>
      </c>
      <c r="M362" s="195"/>
    </row>
    <row r="363" spans="1:13" s="213" customFormat="1" ht="17.25" customHeight="1" outlineLevel="1">
      <c r="A363" s="204">
        <v>44797</v>
      </c>
      <c r="B363" s="204">
        <v>44799</v>
      </c>
      <c r="C363" s="205" t="s">
        <v>166</v>
      </c>
      <c r="D363" s="206" t="s">
        <v>248</v>
      </c>
      <c r="E363" s="207">
        <v>46625</v>
      </c>
      <c r="F363" s="287" t="s">
        <v>232</v>
      </c>
      <c r="G363" s="209" t="s">
        <v>130</v>
      </c>
      <c r="H363" s="209" t="s">
        <v>130</v>
      </c>
      <c r="I363" s="243">
        <v>1</v>
      </c>
      <c r="J363" s="209" t="s">
        <v>130</v>
      </c>
      <c r="K363" s="211">
        <v>2198565</v>
      </c>
      <c r="L363" s="211">
        <v>2198565</v>
      </c>
      <c r="M363" s="212">
        <f t="shared" ref="M363:M370" si="57">IF(L363=0,0,K363/L363)</f>
        <v>1</v>
      </c>
    </row>
    <row r="364" spans="1:13" s="213" customFormat="1" ht="16.5" customHeight="1" outlineLevel="1">
      <c r="A364" s="244"/>
      <c r="B364" s="244"/>
      <c r="C364" s="245"/>
      <c r="D364" s="206" t="s">
        <v>249</v>
      </c>
      <c r="E364" s="207">
        <v>46991</v>
      </c>
      <c r="F364" s="287"/>
      <c r="G364" s="209" t="s">
        <v>130</v>
      </c>
      <c r="H364" s="209" t="s">
        <v>130</v>
      </c>
      <c r="I364" s="243">
        <v>1</v>
      </c>
      <c r="J364" s="209" t="s">
        <v>130</v>
      </c>
      <c r="K364" s="211">
        <v>2198565</v>
      </c>
      <c r="L364" s="211">
        <v>2198565</v>
      </c>
      <c r="M364" s="212">
        <f t="shared" si="57"/>
        <v>1</v>
      </c>
    </row>
    <row r="365" spans="1:13" s="249" customFormat="1" ht="17.25" customHeight="1" outlineLevel="1">
      <c r="A365" s="246"/>
      <c r="B365" s="246"/>
      <c r="C365" s="247"/>
      <c r="D365" s="206" t="s">
        <v>250</v>
      </c>
      <c r="E365" s="207">
        <v>47356</v>
      </c>
      <c r="F365" s="287"/>
      <c r="G365" s="209" t="s">
        <v>130</v>
      </c>
      <c r="H365" s="209" t="s">
        <v>130</v>
      </c>
      <c r="I365" s="243">
        <v>1</v>
      </c>
      <c r="J365" s="209" t="s">
        <v>130</v>
      </c>
      <c r="K365" s="211">
        <v>2198565</v>
      </c>
      <c r="L365" s="211">
        <v>2198565</v>
      </c>
      <c r="M365" s="248">
        <f t="shared" si="57"/>
        <v>1</v>
      </c>
    </row>
    <row r="366" spans="1:13" s="213" customFormat="1" ht="16.5" customHeight="1" outlineLevel="1">
      <c r="A366" s="244"/>
      <c r="B366" s="244"/>
      <c r="C366" s="245"/>
      <c r="D366" s="206" t="s">
        <v>251</v>
      </c>
      <c r="E366" s="207">
        <v>47721</v>
      </c>
      <c r="F366" s="287"/>
      <c r="G366" s="209" t="s">
        <v>130</v>
      </c>
      <c r="H366" s="209" t="s">
        <v>130</v>
      </c>
      <c r="I366" s="243">
        <v>1</v>
      </c>
      <c r="J366" s="209" t="s">
        <v>130</v>
      </c>
      <c r="K366" s="211">
        <v>2198565</v>
      </c>
      <c r="L366" s="211">
        <v>2198565</v>
      </c>
      <c r="M366" s="212">
        <f t="shared" ref="M366:M369" si="58">IF(L366=0,0,K366/L366)</f>
        <v>1</v>
      </c>
    </row>
    <row r="367" spans="1:13" s="249" customFormat="1" ht="17.25" customHeight="1" outlineLevel="1">
      <c r="A367" s="246"/>
      <c r="B367" s="246"/>
      <c r="C367" s="247"/>
      <c r="D367" s="206" t="s">
        <v>252</v>
      </c>
      <c r="E367" s="207">
        <v>46625</v>
      </c>
      <c r="F367" s="287"/>
      <c r="G367" s="209" t="s">
        <v>130</v>
      </c>
      <c r="H367" s="209" t="s">
        <v>130</v>
      </c>
      <c r="I367" s="243">
        <v>1</v>
      </c>
      <c r="J367" s="209" t="s">
        <v>130</v>
      </c>
      <c r="K367" s="211">
        <v>7901435</v>
      </c>
      <c r="L367" s="211">
        <v>7901435</v>
      </c>
      <c r="M367" s="248">
        <f>IF(L367=0,0,K367/L367)</f>
        <v>1</v>
      </c>
    </row>
    <row r="368" spans="1:13" s="213" customFormat="1" ht="16.5" customHeight="1" outlineLevel="1">
      <c r="A368" s="244"/>
      <c r="B368" s="244"/>
      <c r="C368" s="245"/>
      <c r="D368" s="206" t="s">
        <v>253</v>
      </c>
      <c r="E368" s="207">
        <v>46991</v>
      </c>
      <c r="F368" s="287"/>
      <c r="G368" s="209" t="s">
        <v>130</v>
      </c>
      <c r="H368" s="209" t="s">
        <v>130</v>
      </c>
      <c r="I368" s="243">
        <v>1</v>
      </c>
      <c r="J368" s="209" t="s">
        <v>130</v>
      </c>
      <c r="K368" s="211">
        <v>7901435</v>
      </c>
      <c r="L368" s="211">
        <v>7901435</v>
      </c>
      <c r="M368" s="212">
        <f t="shared" ref="M368" si="59">IF(L368=0,0,K368/L368)</f>
        <v>1</v>
      </c>
    </row>
    <row r="369" spans="1:13" s="249" customFormat="1" ht="17.25" customHeight="1" outlineLevel="1">
      <c r="A369" s="246"/>
      <c r="B369" s="246"/>
      <c r="C369" s="247"/>
      <c r="D369" s="206" t="s">
        <v>254</v>
      </c>
      <c r="E369" s="207">
        <v>47356</v>
      </c>
      <c r="F369" s="287"/>
      <c r="G369" s="209" t="s">
        <v>130</v>
      </c>
      <c r="H369" s="209" t="s">
        <v>130</v>
      </c>
      <c r="I369" s="243">
        <v>1</v>
      </c>
      <c r="J369" s="209" t="s">
        <v>130</v>
      </c>
      <c r="K369" s="211">
        <v>7901435</v>
      </c>
      <c r="L369" s="211">
        <v>7901435</v>
      </c>
      <c r="M369" s="248">
        <f t="shared" si="58"/>
        <v>1</v>
      </c>
    </row>
    <row r="370" spans="1:13" s="249" customFormat="1" ht="15" customHeight="1" outlineLevel="1">
      <c r="A370" s="246"/>
      <c r="B370" s="246"/>
      <c r="C370" s="247"/>
      <c r="D370" s="206" t="s">
        <v>255</v>
      </c>
      <c r="E370" s="207">
        <v>47721</v>
      </c>
      <c r="F370" s="287"/>
      <c r="G370" s="209" t="s">
        <v>130</v>
      </c>
      <c r="H370" s="209" t="s">
        <v>130</v>
      </c>
      <c r="I370" s="243">
        <v>1</v>
      </c>
      <c r="J370" s="209" t="s">
        <v>130</v>
      </c>
      <c r="K370" s="211">
        <v>7901435</v>
      </c>
      <c r="L370" s="211">
        <v>7901435</v>
      </c>
      <c r="M370" s="248">
        <f t="shared" si="57"/>
        <v>1</v>
      </c>
    </row>
    <row r="371" spans="1:13" s="215" customFormat="1" ht="12.75" customHeight="1" outlineLevel="1">
      <c r="A371" s="288" t="s">
        <v>121</v>
      </c>
      <c r="B371" s="289"/>
      <c r="C371" s="289"/>
      <c r="D371" s="289"/>
      <c r="E371" s="289"/>
      <c r="F371" s="289"/>
      <c r="G371" s="289"/>
      <c r="H371" s="289"/>
      <c r="I371" s="289"/>
      <c r="J371" s="290"/>
      <c r="K371" s="214">
        <f>SUM(K363:K370)</f>
        <v>40400000</v>
      </c>
      <c r="L371" s="214">
        <f>SUM(L363:L370)</f>
        <v>40400000</v>
      </c>
      <c r="M371" s="214"/>
    </row>
    <row r="372" spans="1:13" s="180" customFormat="1">
      <c r="A372" s="294" t="s">
        <v>220</v>
      </c>
      <c r="B372" s="295"/>
      <c r="C372" s="295"/>
      <c r="D372" s="295"/>
      <c r="E372" s="295"/>
      <c r="F372" s="295"/>
      <c r="G372" s="295"/>
      <c r="H372" s="295"/>
      <c r="I372" s="295"/>
      <c r="J372" s="296"/>
      <c r="K372" s="193">
        <f>SUM(K336,K343,K351,K362,K371,K355)</f>
        <v>210775235</v>
      </c>
      <c r="L372" s="193">
        <f>SUM(L336,L343,L351,L362,L371,L355)</f>
        <v>105761235</v>
      </c>
      <c r="M372" s="181"/>
    </row>
    <row r="373" spans="1:13" s="180" customFormat="1" ht="12.75" customHeight="1">
      <c r="A373" s="294" t="s">
        <v>231</v>
      </c>
      <c r="B373" s="295"/>
      <c r="C373" s="295"/>
      <c r="D373" s="295"/>
      <c r="E373" s="295"/>
      <c r="F373" s="295"/>
      <c r="G373" s="295"/>
      <c r="H373" s="295"/>
      <c r="I373" s="295"/>
      <c r="J373" s="296"/>
      <c r="K373" s="193">
        <f>SUM(K328,K372)</f>
        <v>1411194769.8</v>
      </c>
      <c r="L373" s="193">
        <f>SUM(L328,L372)</f>
        <v>655457269.79999995</v>
      </c>
      <c r="M373" s="181"/>
    </row>
    <row r="374" spans="1:13" s="71" customFormat="1" ht="12.75" customHeight="1" outlineLevel="1">
      <c r="A374" s="178">
        <v>44803</v>
      </c>
      <c r="B374" s="178">
        <v>44805</v>
      </c>
      <c r="C374" s="174" t="s">
        <v>136</v>
      </c>
      <c r="D374" s="192" t="s">
        <v>230</v>
      </c>
      <c r="E374" s="171">
        <v>44895</v>
      </c>
      <c r="F374" s="182" t="s">
        <v>128</v>
      </c>
      <c r="G374" s="182">
        <v>2.35E-2</v>
      </c>
      <c r="H374" s="182">
        <v>3.1E-2</v>
      </c>
      <c r="I374" s="179">
        <v>2.4188999999999999E-2</v>
      </c>
      <c r="J374" s="179">
        <v>2.4500000000000001E-2</v>
      </c>
      <c r="K374" s="173">
        <v>4950000</v>
      </c>
      <c r="L374" s="184">
        <v>1000000</v>
      </c>
      <c r="M374" s="188">
        <f>IF(L374=0,0,K374/L374)</f>
        <v>4.95</v>
      </c>
    </row>
    <row r="375" spans="1:13" s="71" customFormat="1" ht="12.75" customHeight="1" outlineLevel="1">
      <c r="A375" s="178"/>
      <c r="B375" s="171"/>
      <c r="C375" s="174"/>
      <c r="D375" s="192" t="s">
        <v>192</v>
      </c>
      <c r="E375" s="171">
        <v>45072</v>
      </c>
      <c r="F375" s="182" t="s">
        <v>128</v>
      </c>
      <c r="G375" s="182">
        <v>3.5999999999999997E-2</v>
      </c>
      <c r="H375" s="182">
        <v>3.9E-2</v>
      </c>
      <c r="I375" s="182">
        <v>3.6637700000000002E-2</v>
      </c>
      <c r="J375" s="179">
        <v>3.6999999999999998E-2</v>
      </c>
      <c r="K375" s="173">
        <v>6540000</v>
      </c>
      <c r="L375" s="184">
        <v>2600000</v>
      </c>
      <c r="M375" s="183">
        <f t="shared" ref="M375:M380" si="60">IF(L375=0,0,K375/L375)</f>
        <v>2.5153846153846153</v>
      </c>
    </row>
    <row r="376" spans="1:13" s="71" customFormat="1" ht="12.75" customHeight="1" outlineLevel="1">
      <c r="A376" s="169"/>
      <c r="B376" s="169"/>
      <c r="C376" s="169"/>
      <c r="D376" s="192" t="s">
        <v>225</v>
      </c>
      <c r="E376" s="171">
        <v>46980</v>
      </c>
      <c r="F376" s="182">
        <v>6.3750000000000001E-2</v>
      </c>
      <c r="G376" s="182">
        <v>6.5000000000000002E-2</v>
      </c>
      <c r="H376" s="182">
        <v>6.8199999999999997E-2</v>
      </c>
      <c r="I376" s="179">
        <v>6.5614099999999995E-2</v>
      </c>
      <c r="J376" s="179">
        <v>6.6299999999999998E-2</v>
      </c>
      <c r="K376" s="173">
        <v>5449300</v>
      </c>
      <c r="L376" s="184">
        <v>700000</v>
      </c>
      <c r="M376" s="183">
        <f t="shared" si="60"/>
        <v>7.7847142857142861</v>
      </c>
    </row>
    <row r="377" spans="1:13" s="71" customFormat="1" ht="12.75" customHeight="1" outlineLevel="1">
      <c r="A377" s="169"/>
      <c r="B377" s="169"/>
      <c r="C377" s="169"/>
      <c r="D377" s="192" t="s">
        <v>226</v>
      </c>
      <c r="E377" s="171">
        <v>48625</v>
      </c>
      <c r="F377" s="182">
        <v>7.0000000000000007E-2</v>
      </c>
      <c r="G377" s="182">
        <v>7.1499999999999994E-2</v>
      </c>
      <c r="H377" s="182">
        <v>7.3099999999999998E-2</v>
      </c>
      <c r="I377" s="179">
        <v>7.1798500000000001E-2</v>
      </c>
      <c r="J377" s="179">
        <v>7.1999999999999995E-2</v>
      </c>
      <c r="K377" s="173">
        <v>17854000</v>
      </c>
      <c r="L377" s="184">
        <v>5650000</v>
      </c>
      <c r="M377" s="190">
        <f t="shared" si="60"/>
        <v>3.16</v>
      </c>
    </row>
    <row r="378" spans="1:13" s="71" customFormat="1" ht="12.75" customHeight="1" outlineLevel="1">
      <c r="A378" s="169"/>
      <c r="B378" s="169"/>
      <c r="C378" s="169"/>
      <c r="D378" s="192" t="s">
        <v>144</v>
      </c>
      <c r="E378" s="171">
        <v>50236</v>
      </c>
      <c r="F378" s="182">
        <v>6.3750000000000001E-2</v>
      </c>
      <c r="G378" s="182">
        <v>7.0999999999999994E-2</v>
      </c>
      <c r="H378" s="182">
        <v>7.3499999999999996E-2</v>
      </c>
      <c r="I378" s="179">
        <v>7.1861700000000001E-2</v>
      </c>
      <c r="J378" s="179">
        <v>7.2300000000000003E-2</v>
      </c>
      <c r="K378" s="173">
        <v>1199500</v>
      </c>
      <c r="L378" s="189">
        <v>400000</v>
      </c>
      <c r="M378" s="190">
        <f t="shared" si="60"/>
        <v>2.9987499999999998</v>
      </c>
    </row>
    <row r="379" spans="1:13" s="71" customFormat="1" ht="12.75" customHeight="1" outlineLevel="1">
      <c r="A379" s="169"/>
      <c r="B379" s="169"/>
      <c r="C379" s="169"/>
      <c r="D379" s="192" t="s">
        <v>227</v>
      </c>
      <c r="E379" s="171">
        <v>52397</v>
      </c>
      <c r="F379" s="182">
        <v>7.1249999999999994E-2</v>
      </c>
      <c r="G379" s="182">
        <v>7.1199999999999999E-2</v>
      </c>
      <c r="H379" s="182">
        <v>7.3200000000000001E-2</v>
      </c>
      <c r="I379" s="179">
        <v>7.1399099999999993E-2</v>
      </c>
      <c r="J379" s="179">
        <v>7.2099999999999997E-2</v>
      </c>
      <c r="K379" s="173">
        <v>9327500</v>
      </c>
      <c r="L379" s="189">
        <v>7200000</v>
      </c>
      <c r="M379" s="190">
        <f t="shared" si="60"/>
        <v>1.2954861111111111</v>
      </c>
    </row>
    <row r="380" spans="1:13" s="71" customFormat="1" ht="12.75" customHeight="1" outlineLevel="1">
      <c r="A380" s="169"/>
      <c r="B380" s="169"/>
      <c r="C380" s="169"/>
      <c r="D380" s="192" t="s">
        <v>137</v>
      </c>
      <c r="E380" s="171">
        <v>55380</v>
      </c>
      <c r="F380" s="182">
        <v>6.8750000000000006E-2</v>
      </c>
      <c r="G380" s="182">
        <v>7.2300000000000003E-2</v>
      </c>
      <c r="H380" s="182">
        <v>7.3999999999999996E-2</v>
      </c>
      <c r="I380" s="179">
        <v>7.2590100000000005E-2</v>
      </c>
      <c r="J380" s="179">
        <v>7.2700000000000001E-2</v>
      </c>
      <c r="K380" s="173">
        <v>1928400</v>
      </c>
      <c r="L380" s="189">
        <v>1450000</v>
      </c>
      <c r="M380" s="190">
        <f t="shared" si="60"/>
        <v>1.3299310344827586</v>
      </c>
    </row>
    <row r="381" spans="1:13" s="196" customFormat="1" ht="12.75" customHeight="1" outlineLevel="1">
      <c r="A381" s="291" t="s">
        <v>121</v>
      </c>
      <c r="B381" s="292"/>
      <c r="C381" s="292"/>
      <c r="D381" s="292"/>
      <c r="E381" s="292"/>
      <c r="F381" s="292"/>
      <c r="G381" s="292"/>
      <c r="H381" s="292"/>
      <c r="I381" s="292"/>
      <c r="J381" s="293"/>
      <c r="K381" s="194">
        <f>SUM(K374:K380)</f>
        <v>47248700</v>
      </c>
      <c r="L381" s="194">
        <f>SUM(L374:L380)</f>
        <v>19000000</v>
      </c>
      <c r="M381" s="195"/>
    </row>
    <row r="382" spans="1:13" s="71" customFormat="1" ht="12" customHeight="1" outlineLevel="1">
      <c r="A382" s="178">
        <v>44810</v>
      </c>
      <c r="B382" s="178">
        <v>44812</v>
      </c>
      <c r="C382" s="174" t="s">
        <v>136</v>
      </c>
      <c r="D382" s="192" t="s">
        <v>234</v>
      </c>
      <c r="E382" s="171">
        <v>44964</v>
      </c>
      <c r="F382" s="182" t="s">
        <v>128</v>
      </c>
      <c r="G382" s="182">
        <v>0.03</v>
      </c>
      <c r="H382" s="182">
        <v>3.3000000000000002E-2</v>
      </c>
      <c r="I382" s="182">
        <v>0.03</v>
      </c>
      <c r="J382" s="182">
        <v>0.03</v>
      </c>
      <c r="K382" s="197">
        <v>3650000</v>
      </c>
      <c r="L382" s="242">
        <v>50000</v>
      </c>
      <c r="M382" s="190">
        <f t="shared" ref="M382:M387" si="61">IF(L382=0,0,K382/L382)</f>
        <v>73</v>
      </c>
    </row>
    <row r="383" spans="1:13" s="71" customFormat="1" ht="12.75" customHeight="1" outlineLevel="1">
      <c r="A383" s="178"/>
      <c r="B383" s="171"/>
      <c r="C383" s="174"/>
      <c r="D383" s="192" t="s">
        <v>228</v>
      </c>
      <c r="E383" s="171">
        <v>45884</v>
      </c>
      <c r="F383" s="182">
        <v>5.3749999999999999E-2</v>
      </c>
      <c r="G383" s="182">
        <v>5.67E-2</v>
      </c>
      <c r="H383" s="182">
        <v>6.3E-2</v>
      </c>
      <c r="I383" s="233">
        <v>5.7212199999999998E-2</v>
      </c>
      <c r="J383" s="182">
        <v>5.7599999999999998E-2</v>
      </c>
      <c r="K383" s="198">
        <v>5440000</v>
      </c>
      <c r="L383" s="219">
        <v>700000</v>
      </c>
      <c r="M383" s="190">
        <f t="shared" si="61"/>
        <v>7.7714285714285714</v>
      </c>
    </row>
    <row r="384" spans="1:13" s="71" customFormat="1" ht="12.75" customHeight="1" outlineLevel="1">
      <c r="A384" s="169"/>
      <c r="B384" s="169"/>
      <c r="C384" s="169"/>
      <c r="D384" s="192" t="s">
        <v>50</v>
      </c>
      <c r="E384" s="171">
        <v>46402</v>
      </c>
      <c r="F384" s="182">
        <v>0.06</v>
      </c>
      <c r="G384" s="182">
        <v>6.5000000000000002E-2</v>
      </c>
      <c r="H384" s="182">
        <v>6.8000000000000005E-2</v>
      </c>
      <c r="I384" s="233">
        <v>6.5793400000000002E-2</v>
      </c>
      <c r="J384" s="179">
        <v>6.5199999999999994E-2</v>
      </c>
      <c r="K384" s="198">
        <v>3249000</v>
      </c>
      <c r="L384" s="219">
        <v>2050000</v>
      </c>
      <c r="M384" s="190">
        <f t="shared" si="61"/>
        <v>1.5848780487804879</v>
      </c>
    </row>
    <row r="385" spans="1:13" s="71" customFormat="1" ht="12.75" customHeight="1" outlineLevel="1">
      <c r="A385" s="169"/>
      <c r="B385" s="169"/>
      <c r="C385" s="169"/>
      <c r="D385" s="192" t="s">
        <v>147</v>
      </c>
      <c r="E385" s="171">
        <v>49018</v>
      </c>
      <c r="F385" s="182">
        <v>6.3750000000000001E-2</v>
      </c>
      <c r="G385" s="182">
        <v>7.0999999999999994E-2</v>
      </c>
      <c r="H385" s="182">
        <v>7.3300000000000004E-2</v>
      </c>
      <c r="I385" s="233">
        <v>7.1308899999999995E-2</v>
      </c>
      <c r="J385" s="179">
        <v>7.1800000000000003E-2</v>
      </c>
      <c r="K385" s="198">
        <v>3260000</v>
      </c>
      <c r="L385" s="219">
        <v>800000</v>
      </c>
      <c r="M385" s="190">
        <f t="shared" si="61"/>
        <v>4.0750000000000002</v>
      </c>
    </row>
    <row r="386" spans="1:13" s="71" customFormat="1" ht="12.75" customHeight="1" outlineLevel="1">
      <c r="A386" s="169"/>
      <c r="B386" s="169"/>
      <c r="C386" s="169"/>
      <c r="D386" s="192" t="s">
        <v>149</v>
      </c>
      <c r="E386" s="171">
        <v>50936</v>
      </c>
      <c r="F386" s="182">
        <v>6.5000000000000002E-2</v>
      </c>
      <c r="G386" s="182">
        <v>7.0800000000000002E-2</v>
      </c>
      <c r="H386" s="182">
        <v>7.2499999999999995E-2</v>
      </c>
      <c r="I386" s="234" t="s">
        <v>130</v>
      </c>
      <c r="J386" s="241" t="s">
        <v>130</v>
      </c>
      <c r="K386" s="198">
        <v>540000</v>
      </c>
      <c r="L386" s="219" t="s">
        <v>130</v>
      </c>
      <c r="M386" s="220" t="s">
        <v>130</v>
      </c>
    </row>
    <row r="387" spans="1:13" s="71" customFormat="1" ht="12.75" customHeight="1" outlineLevel="1">
      <c r="A387" s="169"/>
      <c r="B387" s="169"/>
      <c r="C387" s="169"/>
      <c r="D387" s="192" t="s">
        <v>150</v>
      </c>
      <c r="E387" s="171">
        <v>53858</v>
      </c>
      <c r="F387" s="182">
        <v>6.7500000000000004E-2</v>
      </c>
      <c r="G387" s="182">
        <v>7.1300000000000002E-2</v>
      </c>
      <c r="H387" s="182">
        <v>7.2900000000000006E-2</v>
      </c>
      <c r="I387" s="233">
        <v>7.2249400000000005E-2</v>
      </c>
      <c r="J387" s="238">
        <v>7.2300000000000003E-2</v>
      </c>
      <c r="K387" s="198">
        <v>7999000</v>
      </c>
      <c r="L387" s="198">
        <v>5400000</v>
      </c>
      <c r="M387" s="190">
        <f t="shared" si="61"/>
        <v>1.4812962962962963</v>
      </c>
    </row>
    <row r="388" spans="1:13" s="196" customFormat="1" ht="12.75" customHeight="1" outlineLevel="1">
      <c r="A388" s="297" t="s">
        <v>121</v>
      </c>
      <c r="B388" s="298"/>
      <c r="C388" s="298"/>
      <c r="D388" s="298"/>
      <c r="E388" s="298"/>
      <c r="F388" s="298"/>
      <c r="G388" s="298"/>
      <c r="H388" s="298"/>
      <c r="I388" s="298"/>
      <c r="J388" s="299"/>
      <c r="K388" s="199">
        <f>SUM(K382:K387)</f>
        <v>24138000</v>
      </c>
      <c r="L388" s="199">
        <f>SUM(L382:L387)</f>
        <v>9000000</v>
      </c>
      <c r="M388" s="195"/>
    </row>
    <row r="389" spans="1:13" s="71" customFormat="1" ht="12.75" customHeight="1" outlineLevel="1">
      <c r="A389" s="178">
        <v>44817</v>
      </c>
      <c r="B389" s="178">
        <v>44819</v>
      </c>
      <c r="C389" s="174" t="s">
        <v>136</v>
      </c>
      <c r="D389" s="192" t="s">
        <v>235</v>
      </c>
      <c r="E389" s="171">
        <v>44909</v>
      </c>
      <c r="F389" s="182" t="s">
        <v>128</v>
      </c>
      <c r="G389" s="182">
        <v>2.4E-2</v>
      </c>
      <c r="H389" s="182">
        <v>2.75E-2</v>
      </c>
      <c r="I389" s="179">
        <v>2.4E-2</v>
      </c>
      <c r="J389" s="179">
        <v>2.4E-2</v>
      </c>
      <c r="K389" s="173">
        <v>6935000</v>
      </c>
      <c r="L389" s="184">
        <v>1000000</v>
      </c>
      <c r="M389" s="188">
        <f>IF(L389=0,0,K389/L389)</f>
        <v>6.9349999999999996</v>
      </c>
    </row>
    <row r="390" spans="1:13" s="71" customFormat="1" ht="12.75" customHeight="1" outlineLevel="1">
      <c r="A390" s="178"/>
      <c r="B390" s="171"/>
      <c r="C390" s="174"/>
      <c r="D390" s="192" t="s">
        <v>236</v>
      </c>
      <c r="E390" s="171">
        <v>45183</v>
      </c>
      <c r="F390" s="182" t="s">
        <v>128</v>
      </c>
      <c r="G390" s="182">
        <v>3.6499999999999998E-2</v>
      </c>
      <c r="H390" s="182">
        <v>4.0300000000000002E-2</v>
      </c>
      <c r="I390" s="182">
        <v>3.7270600000000001E-2</v>
      </c>
      <c r="J390" s="179">
        <v>3.7499999999999999E-2</v>
      </c>
      <c r="K390" s="173">
        <v>6300000</v>
      </c>
      <c r="L390" s="184">
        <v>3000000</v>
      </c>
      <c r="M390" s="183">
        <f t="shared" ref="M390:M395" si="62">IF(L390=0,0,K390/L390)</f>
        <v>2.1</v>
      </c>
    </row>
    <row r="391" spans="1:13" s="71" customFormat="1" ht="12.75" customHeight="1" outlineLevel="1">
      <c r="A391" s="169"/>
      <c r="B391" s="169"/>
      <c r="C391" s="169"/>
      <c r="D391" s="192" t="s">
        <v>225</v>
      </c>
      <c r="E391" s="171">
        <v>46980</v>
      </c>
      <c r="F391" s="182">
        <v>6.3750000000000001E-2</v>
      </c>
      <c r="G391" s="182">
        <v>6.6000000000000003E-2</v>
      </c>
      <c r="H391" s="182">
        <v>6.8500000000000005E-2</v>
      </c>
      <c r="I391" s="179">
        <v>6.6288899999999998E-2</v>
      </c>
      <c r="J391" s="179">
        <v>6.6500000000000004E-2</v>
      </c>
      <c r="K391" s="173">
        <v>8900100</v>
      </c>
      <c r="L391" s="184">
        <v>3250000</v>
      </c>
      <c r="M391" s="183">
        <f t="shared" si="62"/>
        <v>2.7384923076923076</v>
      </c>
    </row>
    <row r="392" spans="1:13" s="71" customFormat="1" ht="12.75" customHeight="1" outlineLevel="1">
      <c r="A392" s="169"/>
      <c r="B392" s="169"/>
      <c r="C392" s="169"/>
      <c r="D392" s="192" t="s">
        <v>226</v>
      </c>
      <c r="E392" s="171">
        <v>48625</v>
      </c>
      <c r="F392" s="182">
        <v>7.0000000000000007E-2</v>
      </c>
      <c r="G392" s="182">
        <v>7.0599999999999996E-2</v>
      </c>
      <c r="H392" s="182">
        <v>7.2999999999999995E-2</v>
      </c>
      <c r="I392" s="179">
        <v>7.1199799999999994E-2</v>
      </c>
      <c r="J392" s="179">
        <v>7.1400000000000005E-2</v>
      </c>
      <c r="K392" s="173">
        <v>14891900</v>
      </c>
      <c r="L392" s="184">
        <v>5350000</v>
      </c>
      <c r="M392" s="190">
        <f t="shared" si="62"/>
        <v>2.7835327102803737</v>
      </c>
    </row>
    <row r="393" spans="1:13" s="71" customFormat="1" ht="12.75" customHeight="1" outlineLevel="1">
      <c r="A393" s="169"/>
      <c r="B393" s="169"/>
      <c r="C393" s="169"/>
      <c r="D393" s="192" t="s">
        <v>237</v>
      </c>
      <c r="E393" s="171">
        <v>50571</v>
      </c>
      <c r="F393" s="182">
        <v>7.1249999999999994E-2</v>
      </c>
      <c r="G393" s="182">
        <v>6.9900000000000004E-2</v>
      </c>
      <c r="H393" s="182">
        <v>7.2900000000000006E-2</v>
      </c>
      <c r="I393" s="179">
        <v>7.1499800000000002E-2</v>
      </c>
      <c r="J393" s="179">
        <v>7.1999999999999995E-2</v>
      </c>
      <c r="K393" s="173">
        <v>11198900</v>
      </c>
      <c r="L393" s="189">
        <v>3600000</v>
      </c>
      <c r="M393" s="190">
        <f t="shared" si="62"/>
        <v>3.1108055555555554</v>
      </c>
    </row>
    <row r="394" spans="1:13" s="71" customFormat="1" ht="12.75" customHeight="1" outlineLevel="1">
      <c r="A394" s="169"/>
      <c r="B394" s="169"/>
      <c r="C394" s="169"/>
      <c r="D394" s="192" t="s">
        <v>227</v>
      </c>
      <c r="E394" s="171">
        <v>52397</v>
      </c>
      <c r="F394" s="182">
        <v>7.1249999999999994E-2</v>
      </c>
      <c r="G394" s="182">
        <v>7.1300000000000002E-2</v>
      </c>
      <c r="H394" s="182">
        <v>7.2800000000000004E-2</v>
      </c>
      <c r="I394" s="179">
        <v>7.1699600000000002E-2</v>
      </c>
      <c r="J394" s="179">
        <v>7.1900000000000006E-2</v>
      </c>
      <c r="K394" s="173">
        <v>2452200</v>
      </c>
      <c r="L394" s="189">
        <v>1700000</v>
      </c>
      <c r="M394" s="190">
        <f t="shared" si="62"/>
        <v>1.4424705882352942</v>
      </c>
    </row>
    <row r="395" spans="1:13" s="71" customFormat="1" ht="12.75" customHeight="1" outlineLevel="1">
      <c r="A395" s="169"/>
      <c r="B395" s="169"/>
      <c r="C395" s="169"/>
      <c r="D395" s="192" t="s">
        <v>137</v>
      </c>
      <c r="E395" s="171">
        <v>55380</v>
      </c>
      <c r="F395" s="182">
        <v>6.8750000000000006E-2</v>
      </c>
      <c r="G395" s="182">
        <v>7.17E-2</v>
      </c>
      <c r="H395" s="182">
        <v>7.2999999999999995E-2</v>
      </c>
      <c r="I395" s="179">
        <v>7.2389400000000007E-2</v>
      </c>
      <c r="J395" s="179">
        <v>7.2800000000000004E-2</v>
      </c>
      <c r="K395" s="173">
        <v>1377900</v>
      </c>
      <c r="L395" s="189">
        <v>1100000</v>
      </c>
      <c r="M395" s="190">
        <f t="shared" si="62"/>
        <v>1.2526363636363635</v>
      </c>
    </row>
    <row r="396" spans="1:13" s="196" customFormat="1" ht="12.75" customHeight="1" outlineLevel="1">
      <c r="A396" s="291" t="s">
        <v>121</v>
      </c>
      <c r="B396" s="292"/>
      <c r="C396" s="292"/>
      <c r="D396" s="292"/>
      <c r="E396" s="292"/>
      <c r="F396" s="292"/>
      <c r="G396" s="292"/>
      <c r="H396" s="292"/>
      <c r="I396" s="292"/>
      <c r="J396" s="293"/>
      <c r="K396" s="194">
        <f>SUM(K389:K395)</f>
        <v>52056000</v>
      </c>
      <c r="L396" s="194">
        <f>SUM(L389:L395)</f>
        <v>19000000</v>
      </c>
      <c r="M396" s="195"/>
    </row>
    <row r="397" spans="1:13" s="222" customFormat="1" ht="12.75" customHeight="1" outlineLevel="1">
      <c r="A397" s="171">
        <v>44811</v>
      </c>
      <c r="B397" s="171">
        <v>44824</v>
      </c>
      <c r="C397" s="174" t="s">
        <v>160</v>
      </c>
      <c r="D397" s="192" t="s">
        <v>286</v>
      </c>
      <c r="E397" s="171">
        <v>46650</v>
      </c>
      <c r="F397" s="182">
        <v>4.1500000000000002E-2</v>
      </c>
      <c r="G397" s="182"/>
      <c r="H397" s="182"/>
      <c r="I397" s="179">
        <v>4.3999999999999997E-2</v>
      </c>
      <c r="J397" s="179"/>
      <c r="K397" s="189" t="s">
        <v>182</v>
      </c>
      <c r="L397" s="189" t="str">
        <f t="shared" ref="L397:L402" si="63">K397</f>
        <v>USD750.000.000</v>
      </c>
      <c r="M397" s="190"/>
    </row>
    <row r="398" spans="1:13" s="71" customFormat="1" ht="12.75" customHeight="1" outlineLevel="1">
      <c r="A398" s="169"/>
      <c r="B398" s="169"/>
      <c r="C398" s="174"/>
      <c r="D398" s="192"/>
      <c r="E398" s="171"/>
      <c r="F398" s="182"/>
      <c r="G398" s="182"/>
      <c r="H398" s="182"/>
      <c r="I398" s="179"/>
      <c r="J398" s="179"/>
      <c r="K398" s="189">
        <f>14980*750000000/1000000</f>
        <v>11235000</v>
      </c>
      <c r="L398" s="189">
        <f t="shared" si="63"/>
        <v>11235000</v>
      </c>
      <c r="M398" s="190"/>
    </row>
    <row r="399" spans="1:13" s="71" customFormat="1" ht="12.75" customHeight="1" outlineLevel="1">
      <c r="A399" s="169"/>
      <c r="B399" s="171">
        <v>44824</v>
      </c>
      <c r="C399" s="174"/>
      <c r="D399" s="192" t="s">
        <v>287</v>
      </c>
      <c r="E399" s="171">
        <v>48477</v>
      </c>
      <c r="F399" s="182">
        <v>4.65E-2</v>
      </c>
      <c r="G399" s="182"/>
      <c r="H399" s="182"/>
      <c r="I399" s="179">
        <v>4.8000000000000001E-2</v>
      </c>
      <c r="J399" s="179"/>
      <c r="K399" s="189" t="s">
        <v>289</v>
      </c>
      <c r="L399" s="189" t="str">
        <f t="shared" si="63"/>
        <v>USD1400.000.000</v>
      </c>
      <c r="M399" s="190"/>
    </row>
    <row r="400" spans="1:13" s="71" customFormat="1" ht="12.75" customHeight="1" outlineLevel="1">
      <c r="A400" s="169"/>
      <c r="B400" s="169"/>
      <c r="C400" s="174"/>
      <c r="D400" s="192"/>
      <c r="E400" s="171"/>
      <c r="F400" s="182"/>
      <c r="G400" s="182"/>
      <c r="H400" s="182"/>
      <c r="I400" s="179"/>
      <c r="J400" s="179"/>
      <c r="K400" s="189">
        <f>14980*1400000000/1000000</f>
        <v>20972000</v>
      </c>
      <c r="L400" s="189">
        <f t="shared" si="63"/>
        <v>20972000</v>
      </c>
      <c r="M400" s="190"/>
    </row>
    <row r="401" spans="1:13" s="71" customFormat="1" ht="12.75" customHeight="1" outlineLevel="1">
      <c r="A401" s="169"/>
      <c r="B401" s="171">
        <v>44824</v>
      </c>
      <c r="C401" s="174"/>
      <c r="D401" s="192" t="s">
        <v>288</v>
      </c>
      <c r="E401" s="171">
        <v>55782</v>
      </c>
      <c r="F401" s="182">
        <v>5.45E-2</v>
      </c>
      <c r="G401" s="182"/>
      <c r="H401" s="182"/>
      <c r="I401" s="179">
        <v>5.5500000000000001E-2</v>
      </c>
      <c r="J401" s="179"/>
      <c r="K401" s="189" t="s">
        <v>70</v>
      </c>
      <c r="L401" s="189" t="str">
        <f t="shared" si="63"/>
        <v>USD500.000.000</v>
      </c>
      <c r="M401" s="190"/>
    </row>
    <row r="402" spans="1:13" s="71" customFormat="1" ht="12.75" customHeight="1" outlineLevel="1">
      <c r="A402" s="169"/>
      <c r="B402" s="169"/>
      <c r="C402" s="174"/>
      <c r="D402" s="192"/>
      <c r="E402" s="171"/>
      <c r="F402" s="182"/>
      <c r="G402" s="182"/>
      <c r="H402" s="182"/>
      <c r="I402" s="179"/>
      <c r="J402" s="179"/>
      <c r="K402" s="189">
        <f>14980*500000000/1000000</f>
        <v>7490000</v>
      </c>
      <c r="L402" s="189">
        <f t="shared" si="63"/>
        <v>7490000</v>
      </c>
      <c r="M402" s="190"/>
    </row>
    <row r="403" spans="1:13" s="223" customFormat="1" ht="12.75" customHeight="1" outlineLevel="1">
      <c r="A403" s="291" t="s">
        <v>121</v>
      </c>
      <c r="B403" s="292"/>
      <c r="C403" s="292"/>
      <c r="D403" s="292"/>
      <c r="E403" s="292"/>
      <c r="F403" s="292"/>
      <c r="G403" s="292"/>
      <c r="H403" s="292"/>
      <c r="I403" s="292"/>
      <c r="J403" s="293"/>
      <c r="K403" s="194">
        <f>SUM(K398,K400,K402)</f>
        <v>39697000</v>
      </c>
      <c r="L403" s="194">
        <f>SUM(L398,L400,L402)</f>
        <v>39697000</v>
      </c>
      <c r="M403" s="195"/>
    </row>
    <row r="404" spans="1:13" s="71" customFormat="1" ht="12.75" customHeight="1" outlineLevel="1">
      <c r="A404" s="178">
        <v>44823</v>
      </c>
      <c r="B404" s="171">
        <v>44825</v>
      </c>
      <c r="C404" s="200" t="s">
        <v>160</v>
      </c>
      <c r="D404" s="201" t="s">
        <v>242</v>
      </c>
      <c r="E404" s="171">
        <v>45910</v>
      </c>
      <c r="F404" s="182">
        <v>5.8999999999999997E-2</v>
      </c>
      <c r="G404" s="182"/>
      <c r="H404" s="182"/>
      <c r="I404" s="179"/>
      <c r="J404" s="179"/>
      <c r="K404" s="202">
        <v>26974976</v>
      </c>
      <c r="L404" s="202">
        <v>26974976</v>
      </c>
      <c r="M404" s="183">
        <f>IF(L404=0,0,K404/L404)</f>
        <v>1</v>
      </c>
    </row>
    <row r="405" spans="1:13" s="71" customFormat="1" ht="12.75" customHeight="1" outlineLevel="1">
      <c r="A405" s="291" t="s">
        <v>121</v>
      </c>
      <c r="B405" s="292"/>
      <c r="C405" s="292"/>
      <c r="D405" s="292"/>
      <c r="E405" s="292"/>
      <c r="F405" s="292"/>
      <c r="G405" s="292"/>
      <c r="H405" s="292"/>
      <c r="I405" s="292"/>
      <c r="J405" s="293"/>
      <c r="K405" s="194">
        <f>K404</f>
        <v>26974976</v>
      </c>
      <c r="L405" s="194">
        <f>L404</f>
        <v>26974976</v>
      </c>
      <c r="M405" s="203"/>
    </row>
    <row r="406" spans="1:13" s="71" customFormat="1" ht="12" customHeight="1" outlineLevel="1">
      <c r="A406" s="178">
        <v>44824</v>
      </c>
      <c r="B406" s="178">
        <v>44826</v>
      </c>
      <c r="C406" s="174" t="s">
        <v>136</v>
      </c>
      <c r="D406" s="192" t="s">
        <v>234</v>
      </c>
      <c r="E406" s="171">
        <v>44992</v>
      </c>
      <c r="F406" s="182" t="s">
        <v>128</v>
      </c>
      <c r="G406" s="182">
        <v>0.03</v>
      </c>
      <c r="H406" s="182">
        <v>3.2000000000000001E-2</v>
      </c>
      <c r="I406" s="182">
        <v>0.03</v>
      </c>
      <c r="J406" s="182">
        <v>0.03</v>
      </c>
      <c r="K406" s="197">
        <v>800000</v>
      </c>
      <c r="L406" s="242">
        <v>500000</v>
      </c>
      <c r="M406" s="190">
        <f t="shared" ref="M406:M410" si="64">IF(L406=0,0,K406/L406)</f>
        <v>1.6</v>
      </c>
    </row>
    <row r="407" spans="1:13" s="71" customFormat="1" ht="12.75" customHeight="1" outlineLevel="1">
      <c r="A407" s="178"/>
      <c r="B407" s="171"/>
      <c r="C407" s="174"/>
      <c r="D407" s="192" t="s">
        <v>228</v>
      </c>
      <c r="E407" s="171">
        <v>45884</v>
      </c>
      <c r="F407" s="182">
        <v>5.3749999999999999E-2</v>
      </c>
      <c r="G407" s="182">
        <v>5.7500000000000002E-2</v>
      </c>
      <c r="H407" s="182">
        <v>6.25E-2</v>
      </c>
      <c r="I407" s="233">
        <v>5.7500000000000002E-2</v>
      </c>
      <c r="J407" s="233">
        <v>5.7500000000000002E-2</v>
      </c>
      <c r="K407" s="198">
        <v>2071000</v>
      </c>
      <c r="L407" s="219">
        <v>250000</v>
      </c>
      <c r="M407" s="190">
        <f t="shared" si="64"/>
        <v>8.2840000000000007</v>
      </c>
    </row>
    <row r="408" spans="1:13" s="71" customFormat="1" ht="12.75" customHeight="1" outlineLevel="1">
      <c r="A408" s="169"/>
      <c r="B408" s="169"/>
      <c r="C408" s="169"/>
      <c r="D408" s="192" t="s">
        <v>50</v>
      </c>
      <c r="E408" s="171">
        <v>46402</v>
      </c>
      <c r="F408" s="182">
        <v>0.06</v>
      </c>
      <c r="G408" s="182">
        <v>6.6000000000000003E-2</v>
      </c>
      <c r="H408" s="182">
        <v>6.88E-2</v>
      </c>
      <c r="I408" s="233">
        <v>6.6099199999999997E-2</v>
      </c>
      <c r="J408" s="233">
        <v>6.6100000000000006E-2</v>
      </c>
      <c r="K408" s="198">
        <v>660500</v>
      </c>
      <c r="L408" s="219">
        <v>350000</v>
      </c>
      <c r="M408" s="190">
        <f t="shared" si="64"/>
        <v>1.8871428571428572</v>
      </c>
    </row>
    <row r="409" spans="1:13" s="71" customFormat="1" ht="12.75" customHeight="1" outlineLevel="1">
      <c r="A409" s="169"/>
      <c r="B409" s="169"/>
      <c r="C409" s="169"/>
      <c r="D409" s="192" t="s">
        <v>238</v>
      </c>
      <c r="E409" s="171">
        <v>47376</v>
      </c>
      <c r="F409" s="182">
        <v>6.6250000000000003E-2</v>
      </c>
      <c r="G409" s="182">
        <v>6.7500000000000004E-2</v>
      </c>
      <c r="H409" s="182">
        <v>7.2300000000000003E-2</v>
      </c>
      <c r="I409" s="233">
        <v>6.7929400000000001E-2</v>
      </c>
      <c r="J409" s="233">
        <v>6.8500000000000005E-2</v>
      </c>
      <c r="K409" s="198">
        <v>11158500</v>
      </c>
      <c r="L409" s="219">
        <v>4400000</v>
      </c>
      <c r="M409" s="190">
        <f t="shared" si="64"/>
        <v>2.5360227272727274</v>
      </c>
    </row>
    <row r="410" spans="1:13" s="71" customFormat="1" ht="12.75" customHeight="1" outlineLevel="1">
      <c r="A410" s="169"/>
      <c r="B410" s="169"/>
      <c r="C410" s="169"/>
      <c r="D410" s="192" t="s">
        <v>147</v>
      </c>
      <c r="E410" s="171">
        <v>49018</v>
      </c>
      <c r="F410" s="182">
        <v>6.3750000000000001E-2</v>
      </c>
      <c r="G410" s="182">
        <v>7.1400000000000005E-2</v>
      </c>
      <c r="H410" s="182">
        <v>7.3899999999999993E-2</v>
      </c>
      <c r="I410" s="234">
        <v>7.14973E-2</v>
      </c>
      <c r="J410" s="241">
        <v>7.1499999999999994E-2</v>
      </c>
      <c r="K410" s="198">
        <v>1402500</v>
      </c>
      <c r="L410" s="219">
        <v>130000</v>
      </c>
      <c r="M410" s="190">
        <f t="shared" si="64"/>
        <v>10.788461538461538</v>
      </c>
    </row>
    <row r="411" spans="1:13" s="71" customFormat="1" ht="12.75" customHeight="1" outlineLevel="1">
      <c r="A411" s="169"/>
      <c r="B411" s="169"/>
      <c r="C411" s="169"/>
      <c r="D411" s="192" t="s">
        <v>150</v>
      </c>
      <c r="E411" s="171">
        <v>53858</v>
      </c>
      <c r="F411" s="182">
        <v>6.7500000000000004E-2</v>
      </c>
      <c r="G411" s="182">
        <v>7.22E-2</v>
      </c>
      <c r="H411" s="182">
        <v>7.5200000000000003E-2</v>
      </c>
      <c r="I411" s="233">
        <v>7.22E-2</v>
      </c>
      <c r="J411" s="238">
        <v>7.22E-2</v>
      </c>
      <c r="K411" s="198">
        <v>1020100</v>
      </c>
      <c r="L411" s="198">
        <v>640000</v>
      </c>
      <c r="M411" s="190">
        <f t="shared" ref="M411" si="65">IF(L411=0,0,K411/L411)</f>
        <v>1.5939062500000001</v>
      </c>
    </row>
    <row r="412" spans="1:13" s="196" customFormat="1" ht="12.75" customHeight="1" outlineLevel="1">
      <c r="A412" s="297" t="s">
        <v>121</v>
      </c>
      <c r="B412" s="298"/>
      <c r="C412" s="298"/>
      <c r="D412" s="298"/>
      <c r="E412" s="298"/>
      <c r="F412" s="298"/>
      <c r="G412" s="298"/>
      <c r="H412" s="298"/>
      <c r="I412" s="298"/>
      <c r="J412" s="299"/>
      <c r="K412" s="199">
        <f>SUM(K406:K411)</f>
        <v>17112600</v>
      </c>
      <c r="L412" s="199">
        <f>SUM(L406:L411)</f>
        <v>6270000</v>
      </c>
      <c r="M412" s="195"/>
    </row>
    <row r="413" spans="1:13" s="213" customFormat="1" ht="17.25" customHeight="1" outlineLevel="1">
      <c r="A413" s="204">
        <v>44827</v>
      </c>
      <c r="B413" s="204">
        <v>44831</v>
      </c>
      <c r="C413" s="205" t="s">
        <v>166</v>
      </c>
      <c r="D413" s="206" t="s">
        <v>246</v>
      </c>
      <c r="E413" s="207">
        <v>47023</v>
      </c>
      <c r="F413" s="287" t="s">
        <v>256</v>
      </c>
      <c r="G413" s="209" t="s">
        <v>130</v>
      </c>
      <c r="H413" s="209" t="s">
        <v>130</v>
      </c>
      <c r="I413" s="243">
        <v>1</v>
      </c>
      <c r="J413" s="209" t="s">
        <v>130</v>
      </c>
      <c r="K413" s="211">
        <v>8288330</v>
      </c>
      <c r="L413" s="211">
        <f>K413</f>
        <v>8288330</v>
      </c>
      <c r="M413" s="212">
        <f t="shared" ref="M413:M414" si="66">IF(L413=0,0,K413/L413)</f>
        <v>1</v>
      </c>
    </row>
    <row r="414" spans="1:13" s="213" customFormat="1" ht="51" customHeight="1" outlineLevel="1">
      <c r="A414" s="244"/>
      <c r="B414" s="244"/>
      <c r="C414" s="245"/>
      <c r="D414" s="206" t="s">
        <v>247</v>
      </c>
      <c r="E414" s="207">
        <v>47753</v>
      </c>
      <c r="F414" s="287"/>
      <c r="G414" s="209" t="s">
        <v>130</v>
      </c>
      <c r="H414" s="209" t="s">
        <v>130</v>
      </c>
      <c r="I414" s="243">
        <v>1</v>
      </c>
      <c r="J414" s="209" t="s">
        <v>130</v>
      </c>
      <c r="K414" s="211">
        <v>8288330</v>
      </c>
      <c r="L414" s="211">
        <f>K414</f>
        <v>8288330</v>
      </c>
      <c r="M414" s="212">
        <f t="shared" si="66"/>
        <v>1</v>
      </c>
    </row>
    <row r="415" spans="1:13" s="215" customFormat="1" ht="12.75" customHeight="1" outlineLevel="1">
      <c r="A415" s="288" t="s">
        <v>121</v>
      </c>
      <c r="B415" s="289"/>
      <c r="C415" s="289"/>
      <c r="D415" s="289"/>
      <c r="E415" s="289"/>
      <c r="F415" s="289"/>
      <c r="G415" s="289"/>
      <c r="H415" s="289"/>
      <c r="I415" s="289"/>
      <c r="J415" s="290"/>
      <c r="K415" s="214">
        <f>SUM(K413:K414)</f>
        <v>16576660</v>
      </c>
      <c r="L415" s="214">
        <f>SUM(L413:L414)</f>
        <v>16576660</v>
      </c>
      <c r="M415" s="214"/>
    </row>
    <row r="416" spans="1:13" s="71" customFormat="1" ht="12.75" customHeight="1" outlineLevel="1">
      <c r="A416" s="178">
        <v>44827</v>
      </c>
      <c r="B416" s="171">
        <v>44831</v>
      </c>
      <c r="C416" s="200" t="s">
        <v>166</v>
      </c>
      <c r="D416" s="201" t="s">
        <v>239</v>
      </c>
      <c r="E416" s="171">
        <v>46657</v>
      </c>
      <c r="F416" s="182">
        <v>4.71583E-2</v>
      </c>
      <c r="G416" s="182"/>
      <c r="H416" s="182"/>
      <c r="I416" s="179"/>
      <c r="J416" s="179"/>
      <c r="K416" s="202">
        <v>8288320</v>
      </c>
      <c r="L416" s="202">
        <v>8288320</v>
      </c>
      <c r="M416" s="183">
        <f>IF(L416=0,0,K416/L416)</f>
        <v>1</v>
      </c>
    </row>
    <row r="417" spans="1:13" s="71" customFormat="1" ht="12.75" customHeight="1" outlineLevel="1">
      <c r="A417" s="253"/>
      <c r="B417" s="254"/>
      <c r="C417" s="255"/>
      <c r="D417" s="256" t="s">
        <v>240</v>
      </c>
      <c r="E417" s="171">
        <v>47388</v>
      </c>
      <c r="F417" s="257"/>
      <c r="G417" s="257"/>
      <c r="H417" s="257"/>
      <c r="I417" s="258"/>
      <c r="J417" s="259"/>
      <c r="K417" s="202">
        <v>8288330</v>
      </c>
      <c r="L417" s="202">
        <v>8288330</v>
      </c>
      <c r="M417" s="183"/>
    </row>
    <row r="418" spans="1:13" s="71" customFormat="1" ht="12.75" customHeight="1" outlineLevel="1">
      <c r="A418" s="291" t="s">
        <v>121</v>
      </c>
      <c r="B418" s="292"/>
      <c r="C418" s="292"/>
      <c r="D418" s="292"/>
      <c r="E418" s="292"/>
      <c r="F418" s="292"/>
      <c r="G418" s="292"/>
      <c r="H418" s="292"/>
      <c r="I418" s="292"/>
      <c r="J418" s="293"/>
      <c r="K418" s="194">
        <f>SUM(K416:K417)</f>
        <v>16576650</v>
      </c>
      <c r="L418" s="194">
        <f>SUM(L416:L417)</f>
        <v>16576650</v>
      </c>
      <c r="M418" s="203"/>
    </row>
    <row r="419" spans="1:13" s="71" customFormat="1" ht="12.75" customHeight="1" outlineLevel="1">
      <c r="A419" s="178">
        <v>44826</v>
      </c>
      <c r="B419" s="171">
        <v>44831</v>
      </c>
      <c r="C419" s="200" t="s">
        <v>166</v>
      </c>
      <c r="D419" s="201" t="s">
        <v>241</v>
      </c>
      <c r="E419" s="171">
        <v>51940</v>
      </c>
      <c r="F419" s="182">
        <v>6.7500000000000004E-2</v>
      </c>
      <c r="G419" s="182"/>
      <c r="H419" s="182"/>
      <c r="I419" s="179"/>
      <c r="J419" s="179"/>
      <c r="K419" s="202">
        <v>404429</v>
      </c>
      <c r="L419" s="202">
        <v>404429</v>
      </c>
      <c r="M419" s="183">
        <f>IF(L419=0,0,K419/L419)</f>
        <v>1</v>
      </c>
    </row>
    <row r="420" spans="1:13" s="71" customFormat="1" ht="12.75" customHeight="1" outlineLevel="1">
      <c r="A420" s="291" t="s">
        <v>121</v>
      </c>
      <c r="B420" s="292"/>
      <c r="C420" s="292"/>
      <c r="D420" s="292"/>
      <c r="E420" s="292"/>
      <c r="F420" s="292"/>
      <c r="G420" s="292"/>
      <c r="H420" s="292"/>
      <c r="I420" s="292"/>
      <c r="J420" s="293"/>
      <c r="K420" s="194">
        <f>K419</f>
        <v>404429</v>
      </c>
      <c r="L420" s="194">
        <f>L419</f>
        <v>404429</v>
      </c>
      <c r="M420" s="203"/>
    </row>
    <row r="421" spans="1:13" s="71" customFormat="1" ht="12.75" customHeight="1" outlineLevel="1">
      <c r="A421" s="178">
        <v>44831</v>
      </c>
      <c r="B421" s="178">
        <v>44833</v>
      </c>
      <c r="C421" s="174" t="s">
        <v>136</v>
      </c>
      <c r="D421" s="192" t="s">
        <v>244</v>
      </c>
      <c r="E421" s="171">
        <v>44923</v>
      </c>
      <c r="F421" s="182" t="s">
        <v>128</v>
      </c>
      <c r="G421" s="182">
        <v>2.7E-2</v>
      </c>
      <c r="H421" s="182">
        <v>2.9499999999999998E-2</v>
      </c>
      <c r="I421" s="179">
        <v>2.7934799999999999E-2</v>
      </c>
      <c r="J421" s="179">
        <v>2.9499999999999998E-2</v>
      </c>
      <c r="K421" s="173">
        <v>775000</v>
      </c>
      <c r="L421" s="184">
        <v>700000</v>
      </c>
      <c r="M421" s="188">
        <f>IF(L421=0,0,K421/L421)</f>
        <v>1.1071428571428572</v>
      </c>
    </row>
    <row r="422" spans="1:13" s="71" customFormat="1" ht="12.75" customHeight="1" outlineLevel="1">
      <c r="A422" s="178"/>
      <c r="B422" s="171"/>
      <c r="C422" s="174"/>
      <c r="D422" s="192" t="s">
        <v>205</v>
      </c>
      <c r="E422" s="171">
        <v>45099</v>
      </c>
      <c r="F422" s="182" t="s">
        <v>128</v>
      </c>
      <c r="G422" s="182">
        <v>3.85E-2</v>
      </c>
      <c r="H422" s="182">
        <v>4.2500000000000003E-2</v>
      </c>
      <c r="I422" s="182">
        <v>3.9297800000000001E-2</v>
      </c>
      <c r="J422" s="179">
        <v>3.95E-2</v>
      </c>
      <c r="K422" s="173">
        <v>3475000</v>
      </c>
      <c r="L422" s="184">
        <v>2650000</v>
      </c>
      <c r="M422" s="183">
        <f t="shared" ref="M422:M427" si="67">IF(L422=0,0,K422/L422)</f>
        <v>1.3113207547169812</v>
      </c>
    </row>
    <row r="423" spans="1:13" s="71" customFormat="1" ht="12.75" customHeight="1" outlineLevel="1">
      <c r="A423" s="169"/>
      <c r="B423" s="169"/>
      <c r="C423" s="169"/>
      <c r="D423" s="192" t="s">
        <v>225</v>
      </c>
      <c r="E423" s="171">
        <v>46980</v>
      </c>
      <c r="F423" s="182">
        <v>6.3750000000000001E-2</v>
      </c>
      <c r="G423" s="182">
        <v>6.9800000000000001E-2</v>
      </c>
      <c r="H423" s="182">
        <v>7.2400000000000006E-2</v>
      </c>
      <c r="I423" s="179">
        <v>7.0299E-2</v>
      </c>
      <c r="J423" s="179">
        <v>7.0499999999999993E-2</v>
      </c>
      <c r="K423" s="173">
        <v>4426600</v>
      </c>
      <c r="L423" s="184">
        <v>1650000</v>
      </c>
      <c r="M423" s="183">
        <f t="shared" si="67"/>
        <v>2.6827878787878787</v>
      </c>
    </row>
    <row r="424" spans="1:13" s="71" customFormat="1" ht="12.75" customHeight="1" outlineLevel="1">
      <c r="A424" s="169"/>
      <c r="B424" s="169"/>
      <c r="C424" s="169"/>
      <c r="D424" s="192" t="s">
        <v>226</v>
      </c>
      <c r="E424" s="171">
        <v>48625</v>
      </c>
      <c r="F424" s="182">
        <v>7.0000000000000007E-2</v>
      </c>
      <c r="G424" s="182">
        <v>7.3599999999999999E-2</v>
      </c>
      <c r="H424" s="182">
        <v>7.6999999999999999E-2</v>
      </c>
      <c r="I424" s="179">
        <v>7.4396699999999996E-2</v>
      </c>
      <c r="J424" s="179">
        <v>7.4700000000000003E-2</v>
      </c>
      <c r="K424" s="173">
        <v>10862000</v>
      </c>
      <c r="L424" s="184">
        <v>5150000</v>
      </c>
      <c r="M424" s="190">
        <f t="shared" si="67"/>
        <v>2.1091262135922331</v>
      </c>
    </row>
    <row r="425" spans="1:13" s="71" customFormat="1" ht="12.75" customHeight="1" outlineLevel="1">
      <c r="A425" s="169"/>
      <c r="B425" s="169"/>
      <c r="C425" s="169"/>
      <c r="D425" s="192" t="s">
        <v>237</v>
      </c>
      <c r="E425" s="171">
        <v>50571</v>
      </c>
      <c r="F425" s="182">
        <v>7.1249999999999994E-2</v>
      </c>
      <c r="G425" s="182">
        <v>7.3999999999999996E-2</v>
      </c>
      <c r="H425" s="182">
        <v>7.6200000000000004E-2</v>
      </c>
      <c r="I425" s="179">
        <v>7.4592699999999998E-2</v>
      </c>
      <c r="J425" s="179">
        <v>7.4700000000000003E-2</v>
      </c>
      <c r="K425" s="173">
        <v>2187100</v>
      </c>
      <c r="L425" s="189">
        <v>550000</v>
      </c>
      <c r="M425" s="190">
        <f t="shared" si="67"/>
        <v>3.9765454545454544</v>
      </c>
    </row>
    <row r="426" spans="1:13" s="71" customFormat="1" ht="12.75" customHeight="1" outlineLevel="1">
      <c r="A426" s="169"/>
      <c r="B426" s="169"/>
      <c r="C426" s="169"/>
      <c r="D426" s="192" t="s">
        <v>227</v>
      </c>
      <c r="E426" s="171">
        <v>52397</v>
      </c>
      <c r="F426" s="182">
        <v>7.1249999999999994E-2</v>
      </c>
      <c r="G426" s="182">
        <v>7.3800000000000004E-2</v>
      </c>
      <c r="H426" s="182">
        <v>7.6600000000000001E-2</v>
      </c>
      <c r="I426" s="179" t="s">
        <v>130</v>
      </c>
      <c r="J426" s="179" t="s">
        <v>130</v>
      </c>
      <c r="K426" s="173">
        <v>1564400</v>
      </c>
      <c r="L426" s="189">
        <v>0</v>
      </c>
      <c r="M426" s="190">
        <f t="shared" si="67"/>
        <v>0</v>
      </c>
    </row>
    <row r="427" spans="1:13" s="71" customFormat="1" ht="12.75" customHeight="1" outlineLevel="1">
      <c r="A427" s="169"/>
      <c r="B427" s="169"/>
      <c r="C427" s="169"/>
      <c r="D427" s="192" t="s">
        <v>137</v>
      </c>
      <c r="E427" s="171">
        <v>55380</v>
      </c>
      <c r="F427" s="182">
        <v>6.8750000000000006E-2</v>
      </c>
      <c r="G427" s="182">
        <v>7.3499999999999996E-2</v>
      </c>
      <c r="H427" s="182">
        <v>7.5300000000000006E-2</v>
      </c>
      <c r="I427" s="179">
        <v>7.3960300000000007E-2</v>
      </c>
      <c r="J427" s="179">
        <v>7.4499999999999997E-2</v>
      </c>
      <c r="K427" s="173">
        <v>383900</v>
      </c>
      <c r="L427" s="189">
        <v>45000</v>
      </c>
      <c r="M427" s="190">
        <f t="shared" si="67"/>
        <v>8.5311111111111106</v>
      </c>
    </row>
    <row r="428" spans="1:13" s="196" customFormat="1" ht="12.75" customHeight="1" outlineLevel="1">
      <c r="A428" s="291" t="s">
        <v>121</v>
      </c>
      <c r="B428" s="292"/>
      <c r="C428" s="292"/>
      <c r="D428" s="292"/>
      <c r="E428" s="292"/>
      <c r="F428" s="292"/>
      <c r="G428" s="292"/>
      <c r="H428" s="292"/>
      <c r="I428" s="292"/>
      <c r="J428" s="293"/>
      <c r="K428" s="194">
        <f>SUM(K421:K427)</f>
        <v>23674000</v>
      </c>
      <c r="L428" s="194">
        <f>SUM(L421:L427)</f>
        <v>10745000</v>
      </c>
      <c r="M428" s="195"/>
    </row>
    <row r="429" spans="1:13" s="180" customFormat="1">
      <c r="A429" s="294" t="s">
        <v>229</v>
      </c>
      <c r="B429" s="295"/>
      <c r="C429" s="295"/>
      <c r="D429" s="295"/>
      <c r="E429" s="295"/>
      <c r="F429" s="295"/>
      <c r="G429" s="295"/>
      <c r="H429" s="295"/>
      <c r="I429" s="295"/>
      <c r="J429" s="296"/>
      <c r="K429" s="193">
        <f>SUM(K381,K388,K396,K403,K405,K412,K418,K420,K428,K415)</f>
        <v>264459015</v>
      </c>
      <c r="L429" s="193">
        <f>SUM(L381,L388,L396,L403,L405,L412,L418,L420,L428,L415)</f>
        <v>164244715</v>
      </c>
      <c r="M429" s="181"/>
    </row>
    <row r="430" spans="1:13" s="180" customFormat="1" ht="12.75" customHeight="1">
      <c r="A430" s="294" t="s">
        <v>245</v>
      </c>
      <c r="B430" s="295"/>
      <c r="C430" s="295"/>
      <c r="D430" s="295"/>
      <c r="E430" s="295"/>
      <c r="F430" s="295"/>
      <c r="G430" s="295"/>
      <c r="H430" s="295"/>
      <c r="I430" s="295"/>
      <c r="J430" s="296"/>
      <c r="K430" s="193">
        <f>SUM(K373,K429)</f>
        <v>1675653784.8</v>
      </c>
      <c r="L430" s="193">
        <f>SUM(L373,L429)</f>
        <v>819701984.79999995</v>
      </c>
      <c r="M430" s="181"/>
    </row>
    <row r="431" spans="1:13" s="71" customFormat="1" ht="12" customHeight="1" outlineLevel="1">
      <c r="A431" s="178">
        <v>44838</v>
      </c>
      <c r="B431" s="178">
        <v>44840</v>
      </c>
      <c r="C431" s="174" t="s">
        <v>136</v>
      </c>
      <c r="D431" s="192" t="s">
        <v>259</v>
      </c>
      <c r="E431" s="171">
        <v>45020</v>
      </c>
      <c r="F431" s="182" t="s">
        <v>128</v>
      </c>
      <c r="G431" s="182">
        <v>3.7499999999999999E-2</v>
      </c>
      <c r="H431" s="182">
        <v>3.95E-2</v>
      </c>
      <c r="I431" s="274" t="s">
        <v>130</v>
      </c>
      <c r="J431" s="275" t="s">
        <v>130</v>
      </c>
      <c r="K431" s="197">
        <v>400000</v>
      </c>
      <c r="L431" s="242" t="s">
        <v>130</v>
      </c>
      <c r="M431" s="220" t="s">
        <v>130</v>
      </c>
    </row>
    <row r="432" spans="1:13" s="71" customFormat="1" ht="12.75" customHeight="1" outlineLevel="1">
      <c r="A432" s="178"/>
      <c r="B432" s="171"/>
      <c r="C432" s="174"/>
      <c r="D432" s="192" t="s">
        <v>228</v>
      </c>
      <c r="E432" s="171">
        <v>45884</v>
      </c>
      <c r="F432" s="182">
        <v>5.3749999999999999E-2</v>
      </c>
      <c r="G432" s="182">
        <v>6.0400000000000002E-2</v>
      </c>
      <c r="H432" s="182">
        <v>6.8599999999999994E-2</v>
      </c>
      <c r="I432" s="179">
        <v>6.0761900000000001E-2</v>
      </c>
      <c r="J432" s="233">
        <v>6.0999999999999999E-2</v>
      </c>
      <c r="K432" s="198">
        <v>2187200</v>
      </c>
      <c r="L432" s="219">
        <v>150000</v>
      </c>
      <c r="M432" s="190">
        <f t="shared" ref="M432:M436" si="68">IF(L432=0,0,K432/L432)</f>
        <v>14.581333333333333</v>
      </c>
    </row>
    <row r="433" spans="1:13" s="71" customFormat="1" ht="12.75" customHeight="1" outlineLevel="1">
      <c r="A433" s="169"/>
      <c r="B433" s="169"/>
      <c r="C433" s="169"/>
      <c r="D433" s="192" t="s">
        <v>50</v>
      </c>
      <c r="E433" s="171">
        <v>46402</v>
      </c>
      <c r="F433" s="182">
        <v>0.06</v>
      </c>
      <c r="G433" s="182">
        <v>6.5500000000000003E-2</v>
      </c>
      <c r="H433" s="182">
        <v>6.9400000000000003E-2</v>
      </c>
      <c r="I433" s="179">
        <v>6.5971399999999999E-2</v>
      </c>
      <c r="J433" s="233">
        <v>6.6000000000000003E-2</v>
      </c>
      <c r="K433" s="198">
        <v>1302000</v>
      </c>
      <c r="L433" s="219">
        <v>150000</v>
      </c>
      <c r="M433" s="190">
        <f t="shared" si="68"/>
        <v>8.68</v>
      </c>
    </row>
    <row r="434" spans="1:13" s="71" customFormat="1" ht="12.75" customHeight="1" outlineLevel="1">
      <c r="A434" s="169"/>
      <c r="B434" s="169"/>
      <c r="C434" s="169"/>
      <c r="D434" s="192" t="s">
        <v>147</v>
      </c>
      <c r="E434" s="171">
        <v>49018</v>
      </c>
      <c r="F434" s="182">
        <v>6.3750000000000001E-2</v>
      </c>
      <c r="G434" s="182">
        <v>7.2800000000000004E-2</v>
      </c>
      <c r="H434" s="182">
        <v>7.5499999999999998E-2</v>
      </c>
      <c r="I434" s="179">
        <v>7.3383299999999999E-2</v>
      </c>
      <c r="J434" s="233">
        <v>7.3999999999999996E-2</v>
      </c>
      <c r="K434" s="198">
        <v>2622000</v>
      </c>
      <c r="L434" s="219">
        <v>300000</v>
      </c>
      <c r="M434" s="190">
        <f t="shared" si="68"/>
        <v>8.74</v>
      </c>
    </row>
    <row r="435" spans="1:13" s="71" customFormat="1" ht="12.75" customHeight="1" outlineLevel="1">
      <c r="A435" s="169"/>
      <c r="B435" s="169"/>
      <c r="C435" s="169"/>
      <c r="D435" s="192" t="s">
        <v>149</v>
      </c>
      <c r="E435" s="171">
        <v>50936</v>
      </c>
      <c r="F435" s="182">
        <v>6.5000000000000002E-2</v>
      </c>
      <c r="G435" s="182">
        <v>7.2499999999999995E-2</v>
      </c>
      <c r="H435" s="182">
        <v>7.4499999999999997E-2</v>
      </c>
      <c r="I435" s="234">
        <v>7.2499999999999995E-2</v>
      </c>
      <c r="J435" s="241">
        <v>7.2499999999999995E-2</v>
      </c>
      <c r="K435" s="198">
        <v>148800</v>
      </c>
      <c r="L435" s="219">
        <v>5000</v>
      </c>
      <c r="M435" s="190">
        <f t="shared" si="68"/>
        <v>29.76</v>
      </c>
    </row>
    <row r="436" spans="1:13" s="71" customFormat="1" ht="12.75" customHeight="1" outlineLevel="1">
      <c r="A436" s="169"/>
      <c r="B436" s="169"/>
      <c r="C436" s="169"/>
      <c r="D436" s="192" t="s">
        <v>150</v>
      </c>
      <c r="E436" s="171">
        <v>53858</v>
      </c>
      <c r="F436" s="182">
        <v>6.7500000000000004E-2</v>
      </c>
      <c r="G436" s="182">
        <v>7.3300000000000004E-2</v>
      </c>
      <c r="H436" s="182">
        <v>7.4999999999999997E-2</v>
      </c>
      <c r="I436" s="233">
        <v>7.4899999999999994E-2</v>
      </c>
      <c r="J436" s="238">
        <v>7.4899999999999994E-2</v>
      </c>
      <c r="K436" s="198">
        <v>390600</v>
      </c>
      <c r="L436" s="198">
        <v>150000</v>
      </c>
      <c r="M436" s="190">
        <f t="shared" si="68"/>
        <v>2.6040000000000001</v>
      </c>
    </row>
    <row r="437" spans="1:13" s="196" customFormat="1" ht="12.75" customHeight="1" outlineLevel="1">
      <c r="A437" s="297" t="s">
        <v>121</v>
      </c>
      <c r="B437" s="298"/>
      <c r="C437" s="298"/>
      <c r="D437" s="298"/>
      <c r="E437" s="298"/>
      <c r="F437" s="298"/>
      <c r="G437" s="298"/>
      <c r="H437" s="298"/>
      <c r="I437" s="298"/>
      <c r="J437" s="299"/>
      <c r="K437" s="199">
        <f>SUM(K431:K436)</f>
        <v>7050600</v>
      </c>
      <c r="L437" s="199">
        <f>SUM(L431:L436)</f>
        <v>755000</v>
      </c>
      <c r="M437" s="195"/>
    </row>
    <row r="438" spans="1:13" s="71" customFormat="1" ht="12" customHeight="1" outlineLevel="1">
      <c r="A438" s="178">
        <v>44839</v>
      </c>
      <c r="B438" s="178">
        <v>44840</v>
      </c>
      <c r="C438" s="174" t="s">
        <v>136</v>
      </c>
      <c r="D438" s="192" t="s">
        <v>228</v>
      </c>
      <c r="E438" s="171">
        <v>45884</v>
      </c>
      <c r="F438" s="182">
        <v>5.3749999999999999E-2</v>
      </c>
      <c r="G438" s="218" t="s">
        <v>130</v>
      </c>
      <c r="H438" s="218" t="s">
        <v>130</v>
      </c>
      <c r="I438" s="218" t="s">
        <v>130</v>
      </c>
      <c r="J438" s="218" t="s">
        <v>130</v>
      </c>
      <c r="K438" s="198">
        <v>1070300</v>
      </c>
      <c r="L438" s="198">
        <v>1070300</v>
      </c>
      <c r="M438" s="190">
        <f>IF(L438=0,0,K438/L438)</f>
        <v>1</v>
      </c>
    </row>
    <row r="439" spans="1:13" s="71" customFormat="1" ht="12.75" customHeight="1" outlineLevel="1">
      <c r="A439" s="178"/>
      <c r="B439" s="171"/>
      <c r="C439" s="174"/>
      <c r="D439" s="192" t="s">
        <v>50</v>
      </c>
      <c r="E439" s="171">
        <v>46402</v>
      </c>
      <c r="F439" s="182">
        <v>0.06</v>
      </c>
      <c r="G439" s="218" t="s">
        <v>130</v>
      </c>
      <c r="H439" s="218" t="s">
        <v>130</v>
      </c>
      <c r="I439" s="218" t="s">
        <v>130</v>
      </c>
      <c r="J439" s="218" t="s">
        <v>130</v>
      </c>
      <c r="K439" s="198">
        <v>614200</v>
      </c>
      <c r="L439" s="198">
        <v>614200</v>
      </c>
      <c r="M439" s="190">
        <f>IF(L439=0,0,K439/L439)</f>
        <v>1</v>
      </c>
    </row>
    <row r="440" spans="1:13" s="71" customFormat="1" ht="12.75" customHeight="1" outlineLevel="1">
      <c r="A440" s="169"/>
      <c r="B440" s="169"/>
      <c r="C440" s="169"/>
      <c r="D440" s="192" t="s">
        <v>147</v>
      </c>
      <c r="E440" s="171">
        <v>49018</v>
      </c>
      <c r="F440" s="182">
        <v>6.3750000000000001E-2</v>
      </c>
      <c r="G440" s="218" t="s">
        <v>130</v>
      </c>
      <c r="H440" s="218" t="s">
        <v>130</v>
      </c>
      <c r="I440" s="218" t="s">
        <v>130</v>
      </c>
      <c r="J440" s="218" t="s">
        <v>130</v>
      </c>
      <c r="K440" s="198">
        <v>657600</v>
      </c>
      <c r="L440" s="198">
        <v>657600</v>
      </c>
      <c r="M440" s="190">
        <f>IF(L440=0,0,K440/L440)</f>
        <v>1</v>
      </c>
    </row>
    <row r="441" spans="1:13" s="71" customFormat="1" ht="12.75" customHeight="1" outlineLevel="1">
      <c r="A441" s="169"/>
      <c r="B441" s="169"/>
      <c r="C441" s="169"/>
      <c r="D441" s="192" t="s">
        <v>149</v>
      </c>
      <c r="E441" s="171">
        <v>50936</v>
      </c>
      <c r="F441" s="182">
        <v>6.5000000000000002E-2</v>
      </c>
      <c r="G441" s="218" t="s">
        <v>130</v>
      </c>
      <c r="H441" s="218" t="s">
        <v>130</v>
      </c>
      <c r="I441" s="218" t="s">
        <v>130</v>
      </c>
      <c r="J441" s="218" t="s">
        <v>130</v>
      </c>
      <c r="K441" s="198">
        <v>120000</v>
      </c>
      <c r="L441" s="198">
        <v>120000</v>
      </c>
      <c r="M441" s="190">
        <f>IF(L441=0,0,K441/L441)</f>
        <v>1</v>
      </c>
    </row>
    <row r="442" spans="1:13" s="71" customFormat="1" ht="12.75" customHeight="1" outlineLevel="1">
      <c r="A442" s="169"/>
      <c r="B442" s="169"/>
      <c r="C442" s="169"/>
      <c r="D442" s="192" t="s">
        <v>150</v>
      </c>
      <c r="E442" s="171">
        <v>53858</v>
      </c>
      <c r="F442" s="182">
        <v>6.7500000000000004E-2</v>
      </c>
      <c r="G442" s="218" t="s">
        <v>130</v>
      </c>
      <c r="H442" s="218" t="s">
        <v>130</v>
      </c>
      <c r="I442" s="218" t="s">
        <v>130</v>
      </c>
      <c r="J442" s="218" t="s">
        <v>130</v>
      </c>
      <c r="K442" s="198">
        <v>205000</v>
      </c>
      <c r="L442" s="198">
        <v>205000</v>
      </c>
      <c r="M442" s="190">
        <f>IF(L442=0,0,K442/L442)</f>
        <v>1</v>
      </c>
    </row>
    <row r="443" spans="1:13" s="196" customFormat="1" ht="12.75" customHeight="1" outlineLevel="1">
      <c r="A443" s="297" t="s">
        <v>121</v>
      </c>
      <c r="B443" s="298"/>
      <c r="C443" s="298"/>
      <c r="D443" s="298"/>
      <c r="E443" s="302"/>
      <c r="F443" s="298"/>
      <c r="G443" s="298"/>
      <c r="H443" s="298"/>
      <c r="I443" s="298"/>
      <c r="J443" s="299"/>
      <c r="K443" s="199">
        <f>SUM(K438:K442)</f>
        <v>2667100</v>
      </c>
      <c r="L443" s="199">
        <f>SUM(L438:L442)</f>
        <v>2667100</v>
      </c>
      <c r="M443" s="195"/>
    </row>
    <row r="444" spans="1:13" s="71" customFormat="1" ht="12.75" customHeight="1" outlineLevel="1">
      <c r="A444" s="261">
        <v>44834</v>
      </c>
      <c r="B444" s="262">
        <v>44840</v>
      </c>
      <c r="C444" s="263" t="s">
        <v>166</v>
      </c>
      <c r="D444" s="271" t="s">
        <v>257</v>
      </c>
      <c r="E444" s="262">
        <v>45571</v>
      </c>
      <c r="F444" s="270">
        <v>5.8999999999999997E-2</v>
      </c>
      <c r="G444" s="265"/>
      <c r="H444" s="265"/>
      <c r="I444" s="266"/>
      <c r="J444" s="266"/>
      <c r="K444" s="267">
        <v>100000</v>
      </c>
      <c r="L444" s="267">
        <v>100000</v>
      </c>
      <c r="M444" s="268">
        <f>IF(L444=0,0,K444/L444)</f>
        <v>1</v>
      </c>
    </row>
    <row r="445" spans="1:13" s="71" customFormat="1" ht="12.75" customHeight="1" outlineLevel="1">
      <c r="A445" s="178"/>
      <c r="B445" s="171"/>
      <c r="C445" s="200"/>
      <c r="D445" s="272" t="s">
        <v>258</v>
      </c>
      <c r="E445" s="273">
        <v>46666</v>
      </c>
      <c r="F445" s="264">
        <v>6.6500000000000004E-2</v>
      </c>
      <c r="G445" s="182"/>
      <c r="H445" s="182"/>
      <c r="I445" s="179"/>
      <c r="J445" s="179"/>
      <c r="K445" s="267">
        <v>100000</v>
      </c>
      <c r="L445" s="267">
        <v>100000</v>
      </c>
      <c r="M445" s="183"/>
    </row>
    <row r="446" spans="1:13" s="71" customFormat="1" ht="12.75" customHeight="1" outlineLevel="1">
      <c r="A446" s="300" t="s">
        <v>121</v>
      </c>
      <c r="B446" s="300"/>
      <c r="C446" s="300"/>
      <c r="D446" s="300"/>
      <c r="E446" s="301"/>
      <c r="F446" s="300"/>
      <c r="G446" s="300"/>
      <c r="H446" s="300"/>
      <c r="I446" s="300"/>
      <c r="J446" s="300"/>
      <c r="K446" s="199">
        <f>SUM(K444:K445)</f>
        <v>200000</v>
      </c>
      <c r="L446" s="199">
        <f>SUM(L444:L445)</f>
        <v>200000</v>
      </c>
      <c r="M446" s="269"/>
    </row>
    <row r="447" spans="1:13" s="71" customFormat="1" ht="12.75" customHeight="1" outlineLevel="1">
      <c r="A447" s="178">
        <v>44845</v>
      </c>
      <c r="B447" s="178">
        <v>44847</v>
      </c>
      <c r="C447" s="174" t="s">
        <v>136</v>
      </c>
      <c r="D447" s="192" t="s">
        <v>261</v>
      </c>
      <c r="E447" s="171">
        <v>44937</v>
      </c>
      <c r="F447" s="182" t="s">
        <v>128</v>
      </c>
      <c r="G447" s="182">
        <v>3.0499999999999999E-2</v>
      </c>
      <c r="H447" s="182">
        <v>3.7400000000000003E-2</v>
      </c>
      <c r="I447" s="179">
        <v>3.0985700000000001E-2</v>
      </c>
      <c r="J447" s="179">
        <v>3.15E-2</v>
      </c>
      <c r="K447" s="173">
        <v>625000</v>
      </c>
      <c r="L447" s="184">
        <v>450000</v>
      </c>
      <c r="M447" s="188">
        <f>IF(L447=0,0,K447/L447)</f>
        <v>1.3888888888888888</v>
      </c>
    </row>
    <row r="448" spans="1:13" s="71" customFormat="1" ht="12.75" customHeight="1" outlineLevel="1">
      <c r="A448" s="178"/>
      <c r="B448" s="171"/>
      <c r="C448" s="174"/>
      <c r="D448" s="192" t="s">
        <v>262</v>
      </c>
      <c r="E448" s="171">
        <v>45211</v>
      </c>
      <c r="F448" s="182" t="s">
        <v>128</v>
      </c>
      <c r="G448" s="182">
        <v>3.95E-2</v>
      </c>
      <c r="H448" s="182">
        <v>4.3499999999999997E-2</v>
      </c>
      <c r="I448" s="182">
        <v>4.0161799999999998E-2</v>
      </c>
      <c r="J448" s="179">
        <v>4.1500000000000002E-2</v>
      </c>
      <c r="K448" s="173">
        <v>1375000</v>
      </c>
      <c r="L448" s="184">
        <v>1050000</v>
      </c>
      <c r="M448" s="183">
        <f t="shared" ref="M448:M453" si="69">IF(L448=0,0,K448/L448)</f>
        <v>1.3095238095238095</v>
      </c>
    </row>
    <row r="449" spans="1:15" s="71" customFormat="1" ht="12.75" customHeight="1" outlineLevel="1">
      <c r="A449" s="169"/>
      <c r="B449" s="169"/>
      <c r="C449" s="169"/>
      <c r="D449" s="192" t="s">
        <v>225</v>
      </c>
      <c r="E449" s="171">
        <v>46980</v>
      </c>
      <c r="F449" s="182">
        <v>6.3750000000000001E-2</v>
      </c>
      <c r="G449" s="182">
        <v>7.0499999999999993E-2</v>
      </c>
      <c r="H449" s="182">
        <v>7.7499999999999999E-2</v>
      </c>
      <c r="I449" s="179">
        <v>7.1194300000000002E-2</v>
      </c>
      <c r="J449" s="179">
        <v>7.1599999999999997E-2</v>
      </c>
      <c r="K449" s="173">
        <v>4580200</v>
      </c>
      <c r="L449" s="184">
        <v>3950000</v>
      </c>
      <c r="M449" s="183">
        <f t="shared" si="69"/>
        <v>1.1595443037974684</v>
      </c>
    </row>
    <row r="450" spans="1:15" s="71" customFormat="1" ht="12.75" customHeight="1" outlineLevel="1">
      <c r="A450" s="169"/>
      <c r="B450" s="169"/>
      <c r="C450" s="169"/>
      <c r="D450" s="192" t="s">
        <v>226</v>
      </c>
      <c r="E450" s="171">
        <v>48625</v>
      </c>
      <c r="F450" s="182">
        <v>7.0000000000000007E-2</v>
      </c>
      <c r="G450" s="182">
        <v>7.2800000000000004E-2</v>
      </c>
      <c r="H450" s="182">
        <v>0.08</v>
      </c>
      <c r="I450" s="179">
        <v>7.3696800000000007E-2</v>
      </c>
      <c r="J450" s="179">
        <v>7.3999999999999996E-2</v>
      </c>
      <c r="K450" s="173">
        <v>6775600</v>
      </c>
      <c r="L450" s="184">
        <v>2350000</v>
      </c>
      <c r="M450" s="190">
        <f t="shared" si="69"/>
        <v>2.8832340425531915</v>
      </c>
    </row>
    <row r="451" spans="1:15" s="71" customFormat="1" ht="12.75" customHeight="1" outlineLevel="1">
      <c r="A451" s="169"/>
      <c r="B451" s="169"/>
      <c r="C451" s="169"/>
      <c r="D451" s="192" t="s">
        <v>237</v>
      </c>
      <c r="E451" s="171">
        <v>50571</v>
      </c>
      <c r="F451" s="182">
        <v>7.1249999999999994E-2</v>
      </c>
      <c r="G451" s="182">
        <v>7.3599999999999999E-2</v>
      </c>
      <c r="H451" s="182">
        <v>7.5399999999999995E-2</v>
      </c>
      <c r="I451" s="179">
        <v>7.40846E-2</v>
      </c>
      <c r="J451" s="179">
        <v>7.4200000000000002E-2</v>
      </c>
      <c r="K451" s="173">
        <v>1157500</v>
      </c>
      <c r="L451" s="189">
        <v>350000</v>
      </c>
      <c r="M451" s="190">
        <f t="shared" si="69"/>
        <v>3.3071428571428569</v>
      </c>
    </row>
    <row r="452" spans="1:15" s="71" customFormat="1" ht="12.75" customHeight="1" outlineLevel="1">
      <c r="A452" s="169"/>
      <c r="B452" s="169"/>
      <c r="C452" s="169"/>
      <c r="D452" s="192" t="s">
        <v>227</v>
      </c>
      <c r="E452" s="171">
        <v>52397</v>
      </c>
      <c r="F452" s="182">
        <v>7.1249999999999994E-2</v>
      </c>
      <c r="G452" s="182">
        <v>7.3599999999999999E-2</v>
      </c>
      <c r="H452" s="182">
        <v>7.5399999999999995E-2</v>
      </c>
      <c r="I452" s="179">
        <v>7.39929E-2</v>
      </c>
      <c r="J452" s="179">
        <v>7.4099999999999999E-2</v>
      </c>
      <c r="K452" s="173">
        <v>307000</v>
      </c>
      <c r="L452" s="189">
        <v>10000</v>
      </c>
      <c r="M452" s="190">
        <f t="shared" si="69"/>
        <v>30.7</v>
      </c>
    </row>
    <row r="453" spans="1:15" s="71" customFormat="1" ht="12.75" customHeight="1" outlineLevel="1">
      <c r="A453" s="169"/>
      <c r="B453" s="169"/>
      <c r="C453" s="169"/>
      <c r="D453" s="192" t="s">
        <v>137</v>
      </c>
      <c r="E453" s="171">
        <v>55380</v>
      </c>
      <c r="F453" s="182">
        <v>6.8750000000000006E-2</v>
      </c>
      <c r="G453" s="182">
        <v>7.3499999999999996E-2</v>
      </c>
      <c r="H453" s="182">
        <v>7.5200000000000003E-2</v>
      </c>
      <c r="I453" s="179">
        <v>7.3550000000000004E-2</v>
      </c>
      <c r="J453" s="179">
        <v>7.3800000000000004E-2</v>
      </c>
      <c r="K453" s="173">
        <v>183500</v>
      </c>
      <c r="L453" s="189">
        <v>60000</v>
      </c>
      <c r="M453" s="190">
        <f t="shared" si="69"/>
        <v>3.0583333333333331</v>
      </c>
    </row>
    <row r="454" spans="1:15" s="196" customFormat="1" ht="12.75" customHeight="1" outlineLevel="1">
      <c r="A454" s="291" t="s">
        <v>121</v>
      </c>
      <c r="B454" s="292"/>
      <c r="C454" s="292"/>
      <c r="D454" s="292"/>
      <c r="E454" s="292"/>
      <c r="F454" s="292"/>
      <c r="G454" s="292"/>
      <c r="H454" s="292"/>
      <c r="I454" s="292"/>
      <c r="J454" s="293"/>
      <c r="K454" s="194">
        <f>SUM(K447:K453)</f>
        <v>15003800</v>
      </c>
      <c r="L454" s="194">
        <f>SUM(L447:L453)</f>
        <v>8220000</v>
      </c>
      <c r="M454" s="195"/>
    </row>
    <row r="455" spans="1:15" s="213" customFormat="1" ht="17.25" customHeight="1" outlineLevel="1">
      <c r="A455" s="204">
        <v>44851</v>
      </c>
      <c r="B455" s="204">
        <v>44854</v>
      </c>
      <c r="C455" s="205" t="s">
        <v>166</v>
      </c>
      <c r="D455" s="206" t="s">
        <v>167</v>
      </c>
      <c r="E455" s="207">
        <v>46767</v>
      </c>
      <c r="F455" s="279">
        <v>5.6000000000000001E-2</v>
      </c>
      <c r="G455" s="209" t="s">
        <v>130</v>
      </c>
      <c r="H455" s="209" t="s">
        <v>130</v>
      </c>
      <c r="I455" s="210">
        <v>6.9699999999999998E-2</v>
      </c>
      <c r="J455" s="209" t="s">
        <v>130</v>
      </c>
      <c r="K455" s="211">
        <v>1382236</v>
      </c>
      <c r="L455" s="211">
        <f>K455</f>
        <v>1382236</v>
      </c>
      <c r="M455" s="212">
        <f t="shared" ref="M455" si="70">IF(L455=0,0,K455/L455)</f>
        <v>1</v>
      </c>
      <c r="O455" s="216"/>
    </row>
    <row r="456" spans="1:15" s="71" customFormat="1" ht="12.75" customHeight="1" outlineLevel="1">
      <c r="A456" s="169"/>
      <c r="B456" s="171"/>
      <c r="C456" s="174"/>
      <c r="D456" s="192" t="s">
        <v>233</v>
      </c>
      <c r="E456" s="171">
        <v>48228</v>
      </c>
      <c r="F456" s="182">
        <v>0.03</v>
      </c>
      <c r="G456" s="182"/>
      <c r="H456" s="182"/>
      <c r="I456" s="179">
        <v>5.3800000000000001E-2</v>
      </c>
      <c r="J456" s="179"/>
      <c r="K456" s="189" t="s">
        <v>280</v>
      </c>
      <c r="L456" s="189" t="str">
        <f>K456</f>
        <v>USD27.228.000</v>
      </c>
      <c r="M456" s="190"/>
    </row>
    <row r="457" spans="1:15" s="71" customFormat="1" ht="12.75" customHeight="1" outlineLevel="1">
      <c r="A457" s="169"/>
      <c r="B457" s="169"/>
      <c r="C457" s="174"/>
      <c r="D457" s="192"/>
      <c r="E457" s="171"/>
      <c r="F457" s="182"/>
      <c r="G457" s="182"/>
      <c r="H457" s="182"/>
      <c r="I457" s="179"/>
      <c r="J457" s="179"/>
      <c r="K457" s="189">
        <v>421788</v>
      </c>
      <c r="L457" s="189">
        <f>K457</f>
        <v>421788</v>
      </c>
      <c r="M457" s="190"/>
    </row>
    <row r="458" spans="1:15" s="215" customFormat="1" ht="13.5" customHeight="1" outlineLevel="1">
      <c r="A458" s="288" t="s">
        <v>121</v>
      </c>
      <c r="B458" s="289"/>
      <c r="C458" s="289"/>
      <c r="D458" s="289"/>
      <c r="E458" s="289"/>
      <c r="F458" s="289"/>
      <c r="G458" s="289"/>
      <c r="H458" s="289"/>
      <c r="I458" s="289"/>
      <c r="J458" s="290"/>
      <c r="K458" s="214">
        <f>SUM(K455,K457)</f>
        <v>1804024</v>
      </c>
      <c r="L458" s="214">
        <f>SUM(L455,L457)</f>
        <v>1804024</v>
      </c>
      <c r="M458" s="214"/>
    </row>
    <row r="459" spans="1:15" s="71" customFormat="1" ht="12" customHeight="1" outlineLevel="1">
      <c r="A459" s="178">
        <v>44852</v>
      </c>
      <c r="B459" s="178">
        <v>44854</v>
      </c>
      <c r="C459" s="174" t="s">
        <v>136</v>
      </c>
      <c r="D459" s="192" t="s">
        <v>259</v>
      </c>
      <c r="E459" s="171">
        <v>45020</v>
      </c>
      <c r="F459" s="276" t="s">
        <v>128</v>
      </c>
      <c r="G459" s="182">
        <v>4.4999999999999998E-2</v>
      </c>
      <c r="H459" s="182">
        <v>4.8000000000000001E-2</v>
      </c>
      <c r="I459" s="274" t="s">
        <v>130</v>
      </c>
      <c r="J459" s="275" t="s">
        <v>130</v>
      </c>
      <c r="K459" s="242">
        <v>300000</v>
      </c>
      <c r="L459" s="242" t="s">
        <v>130</v>
      </c>
      <c r="M459" s="220" t="s">
        <v>130</v>
      </c>
    </row>
    <row r="460" spans="1:15" s="71" customFormat="1" ht="12.75" customHeight="1" outlineLevel="1">
      <c r="A460" s="178"/>
      <c r="B460" s="171"/>
      <c r="C460" s="174"/>
      <c r="D460" s="192" t="s">
        <v>228</v>
      </c>
      <c r="E460" s="171">
        <v>45884</v>
      </c>
      <c r="F460" s="182">
        <v>5.3749999999999999E-2</v>
      </c>
      <c r="G460" s="182">
        <v>6.0999999999999999E-2</v>
      </c>
      <c r="H460" s="182">
        <v>6.88E-2</v>
      </c>
      <c r="I460" s="179">
        <v>6.19841E-2</v>
      </c>
      <c r="J460" s="233">
        <v>6.3E-2</v>
      </c>
      <c r="K460" s="198">
        <v>1343000</v>
      </c>
      <c r="L460" s="219">
        <v>495000</v>
      </c>
      <c r="M460" s="190">
        <f t="shared" ref="M460:M464" si="71">IF(L460=0,0,K460/L460)</f>
        <v>2.7131313131313131</v>
      </c>
    </row>
    <row r="461" spans="1:15" s="71" customFormat="1" ht="12.75" customHeight="1" outlineLevel="1">
      <c r="A461" s="169"/>
      <c r="B461" s="169"/>
      <c r="C461" s="169"/>
      <c r="D461" s="192" t="s">
        <v>50</v>
      </c>
      <c r="E461" s="171">
        <v>46402</v>
      </c>
      <c r="F461" s="182">
        <v>0.06</v>
      </c>
      <c r="G461" s="182">
        <v>6.9000000000000006E-2</v>
      </c>
      <c r="H461" s="182">
        <v>7.0099999999999996E-2</v>
      </c>
      <c r="I461" s="179">
        <v>6.9288299999999997E-2</v>
      </c>
      <c r="J461" s="233">
        <v>6.9599999999999995E-2</v>
      </c>
      <c r="K461" s="198">
        <v>476000</v>
      </c>
      <c r="L461" s="219">
        <v>110000</v>
      </c>
      <c r="M461" s="190">
        <f t="shared" si="71"/>
        <v>4.3272727272727272</v>
      </c>
    </row>
    <row r="462" spans="1:15" s="71" customFormat="1" ht="12.75" customHeight="1" outlineLevel="1">
      <c r="A462" s="169"/>
      <c r="B462" s="169"/>
      <c r="C462" s="169"/>
      <c r="D462" s="192" t="s">
        <v>238</v>
      </c>
      <c r="E462" s="171">
        <v>47376</v>
      </c>
      <c r="F462" s="182">
        <v>6.6250000000000003E-2</v>
      </c>
      <c r="G462" s="182">
        <v>6.6400000000000001E-2</v>
      </c>
      <c r="H462" s="182">
        <v>7.1300000000000002E-2</v>
      </c>
      <c r="I462" s="179">
        <v>6.7293199999999997E-2</v>
      </c>
      <c r="J462" s="233">
        <v>6.8699999999999997E-2</v>
      </c>
      <c r="K462" s="198">
        <v>1655000</v>
      </c>
      <c r="L462" s="219">
        <v>525000</v>
      </c>
      <c r="M462" s="190">
        <f t="shared" si="71"/>
        <v>3.1523809523809523</v>
      </c>
    </row>
    <row r="463" spans="1:15" s="71" customFormat="1" ht="12.75" customHeight="1" outlineLevel="1">
      <c r="A463" s="169"/>
      <c r="B463" s="169"/>
      <c r="C463" s="169"/>
      <c r="D463" s="192" t="s">
        <v>147</v>
      </c>
      <c r="E463" s="171">
        <v>49018</v>
      </c>
      <c r="F463" s="182">
        <v>6.3750000000000001E-2</v>
      </c>
      <c r="G463" s="182">
        <v>7.4399999999999994E-2</v>
      </c>
      <c r="H463" s="182">
        <v>7.9500000000000001E-2</v>
      </c>
      <c r="I463" s="234">
        <v>7.5597399999999995E-2</v>
      </c>
      <c r="J463" s="241">
        <v>7.5899999999999995E-2</v>
      </c>
      <c r="K463" s="198">
        <v>2362000</v>
      </c>
      <c r="L463" s="219">
        <v>550000</v>
      </c>
      <c r="M463" s="190">
        <f t="shared" si="71"/>
        <v>4.2945454545454549</v>
      </c>
    </row>
    <row r="464" spans="1:15" s="71" customFormat="1" ht="12.75" customHeight="1" outlineLevel="1">
      <c r="A464" s="169"/>
      <c r="B464" s="169"/>
      <c r="C464" s="169"/>
      <c r="D464" s="192" t="s">
        <v>150</v>
      </c>
      <c r="E464" s="171">
        <v>53858</v>
      </c>
      <c r="F464" s="182">
        <v>6.7500000000000004E-2</v>
      </c>
      <c r="G464" s="182">
        <v>7.4399999999999994E-2</v>
      </c>
      <c r="H464" s="182">
        <v>7.7499999999999999E-2</v>
      </c>
      <c r="I464" s="233">
        <v>7.5097399999999995E-2</v>
      </c>
      <c r="J464" s="238">
        <v>7.5899999999999995E-2</v>
      </c>
      <c r="K464" s="198">
        <v>267200</v>
      </c>
      <c r="L464" s="198">
        <v>210000</v>
      </c>
      <c r="M464" s="190">
        <f t="shared" si="71"/>
        <v>1.2723809523809524</v>
      </c>
    </row>
    <row r="465" spans="1:13" s="196" customFormat="1" ht="12.75" customHeight="1" outlineLevel="1">
      <c r="A465" s="297" t="s">
        <v>121</v>
      </c>
      <c r="B465" s="298"/>
      <c r="C465" s="298"/>
      <c r="D465" s="298"/>
      <c r="E465" s="298"/>
      <c r="F465" s="298"/>
      <c r="G465" s="298"/>
      <c r="H465" s="298"/>
      <c r="I465" s="298"/>
      <c r="J465" s="299"/>
      <c r="K465" s="199">
        <f>SUM(K459:K464)</f>
        <v>6403200</v>
      </c>
      <c r="L465" s="199">
        <f>SUM(L459:L464)</f>
        <v>1890000</v>
      </c>
      <c r="M465" s="195"/>
    </row>
    <row r="466" spans="1:13" s="71" customFormat="1" ht="12" customHeight="1" outlineLevel="1">
      <c r="A466" s="178">
        <v>44853</v>
      </c>
      <c r="B466" s="178">
        <v>44854</v>
      </c>
      <c r="C466" s="174" t="s">
        <v>136</v>
      </c>
      <c r="D466" s="192" t="s">
        <v>228</v>
      </c>
      <c r="E466" s="171">
        <v>45884</v>
      </c>
      <c r="F466" s="182">
        <v>5.3749999999999999E-2</v>
      </c>
      <c r="G466" s="218" t="s">
        <v>130</v>
      </c>
      <c r="H466" s="218" t="s">
        <v>130</v>
      </c>
      <c r="I466" s="218" t="s">
        <v>130</v>
      </c>
      <c r="J466" s="218" t="s">
        <v>130</v>
      </c>
      <c r="K466" s="198">
        <v>276200</v>
      </c>
      <c r="L466" s="198">
        <v>276200</v>
      </c>
      <c r="M466" s="190">
        <f>IF(L466=0,0,K466/L466)</f>
        <v>1</v>
      </c>
    </row>
    <row r="467" spans="1:13" s="71" customFormat="1" ht="12.75" customHeight="1" outlineLevel="1">
      <c r="A467" s="178"/>
      <c r="B467" s="171"/>
      <c r="C467" s="174"/>
      <c r="D467" s="192" t="s">
        <v>50</v>
      </c>
      <c r="E467" s="171">
        <v>46402</v>
      </c>
      <c r="F467" s="182">
        <v>0.06</v>
      </c>
      <c r="G467" s="218" t="s">
        <v>130</v>
      </c>
      <c r="H467" s="218" t="s">
        <v>130</v>
      </c>
      <c r="I467" s="218" t="s">
        <v>130</v>
      </c>
      <c r="J467" s="218" t="s">
        <v>130</v>
      </c>
      <c r="K467" s="198">
        <v>186100</v>
      </c>
      <c r="L467" s="198">
        <v>186100</v>
      </c>
      <c r="M467" s="190">
        <f>IF(L467=0,0,K467/L467)</f>
        <v>1</v>
      </c>
    </row>
    <row r="468" spans="1:13" s="71" customFormat="1" ht="12.75" customHeight="1" outlineLevel="1">
      <c r="A468" s="169"/>
      <c r="B468" s="169"/>
      <c r="C468" s="169"/>
      <c r="D468" s="192" t="s">
        <v>238</v>
      </c>
      <c r="E468" s="171">
        <v>47376</v>
      </c>
      <c r="F468" s="182">
        <v>6.6250000000000003E-2</v>
      </c>
      <c r="G468" s="218" t="s">
        <v>130</v>
      </c>
      <c r="H468" s="218" t="s">
        <v>130</v>
      </c>
      <c r="I468" s="218" t="s">
        <v>130</v>
      </c>
      <c r="J468" s="218" t="s">
        <v>130</v>
      </c>
      <c r="K468" s="198">
        <v>735000</v>
      </c>
      <c r="L468" s="198">
        <v>735000</v>
      </c>
      <c r="M468" s="190">
        <f>IF(L468=0,0,K468/L468)</f>
        <v>1</v>
      </c>
    </row>
    <row r="469" spans="1:13" s="71" customFormat="1" ht="12.75" customHeight="1" outlineLevel="1">
      <c r="A469" s="169"/>
      <c r="B469" s="169"/>
      <c r="C469" s="169"/>
      <c r="D469" s="192" t="s">
        <v>147</v>
      </c>
      <c r="E469" s="171">
        <v>49018</v>
      </c>
      <c r="F469" s="182">
        <v>6.3750000000000001E-2</v>
      </c>
      <c r="G469" s="218" t="s">
        <v>130</v>
      </c>
      <c r="H469" s="218" t="s">
        <v>130</v>
      </c>
      <c r="I469" s="218" t="s">
        <v>130</v>
      </c>
      <c r="J469" s="218" t="s">
        <v>130</v>
      </c>
      <c r="K469" s="198">
        <v>802500</v>
      </c>
      <c r="L469" s="198">
        <v>802500</v>
      </c>
      <c r="M469" s="190">
        <f>IF(L469=0,0,K469/L469)</f>
        <v>1</v>
      </c>
    </row>
    <row r="470" spans="1:13" s="71" customFormat="1" ht="12.75" customHeight="1" outlineLevel="1">
      <c r="A470" s="169"/>
      <c r="B470" s="169"/>
      <c r="C470" s="169"/>
      <c r="D470" s="192" t="s">
        <v>150</v>
      </c>
      <c r="E470" s="171">
        <v>53858</v>
      </c>
      <c r="F470" s="182">
        <v>6.7500000000000004E-2</v>
      </c>
      <c r="G470" s="218" t="s">
        <v>130</v>
      </c>
      <c r="H470" s="218" t="s">
        <v>130</v>
      </c>
      <c r="I470" s="218" t="s">
        <v>130</v>
      </c>
      <c r="J470" s="218" t="s">
        <v>130</v>
      </c>
      <c r="K470" s="277" t="s">
        <v>130</v>
      </c>
      <c r="L470" s="277" t="s">
        <v>130</v>
      </c>
      <c r="M470" s="220" t="s">
        <v>130</v>
      </c>
    </row>
    <row r="471" spans="1:13" s="196" customFormat="1" ht="12.75" customHeight="1" outlineLevel="1">
      <c r="A471" s="297" t="s">
        <v>121</v>
      </c>
      <c r="B471" s="298"/>
      <c r="C471" s="298"/>
      <c r="D471" s="298"/>
      <c r="E471" s="302"/>
      <c r="F471" s="298"/>
      <c r="G471" s="298"/>
      <c r="H471" s="298"/>
      <c r="I471" s="298"/>
      <c r="J471" s="299"/>
      <c r="K471" s="199">
        <f>SUM(K466:K470)</f>
        <v>1999800</v>
      </c>
      <c r="L471" s="199">
        <f>SUM(L466:L470)</f>
        <v>1999800</v>
      </c>
      <c r="M471" s="195"/>
    </row>
    <row r="472" spans="1:13" s="71" customFormat="1" ht="12.75" customHeight="1" outlineLevel="1">
      <c r="A472" s="178">
        <v>44858</v>
      </c>
      <c r="B472" s="171">
        <v>44495</v>
      </c>
      <c r="C472" s="200" t="s">
        <v>160</v>
      </c>
      <c r="D472" s="201" t="s">
        <v>263</v>
      </c>
      <c r="E472" s="278">
        <v>45945</v>
      </c>
      <c r="F472" s="182">
        <v>5.9499999999999997E-2</v>
      </c>
      <c r="G472" s="182"/>
      <c r="H472" s="182"/>
      <c r="I472" s="179"/>
      <c r="J472" s="179"/>
      <c r="K472" s="202">
        <v>13017714</v>
      </c>
      <c r="L472" s="202">
        <v>13017714</v>
      </c>
      <c r="M472" s="183">
        <f>IF(L472=0,0,K472/L472)</f>
        <v>1</v>
      </c>
    </row>
    <row r="473" spans="1:13" s="71" customFormat="1" ht="12.75" customHeight="1" outlineLevel="1">
      <c r="A473" s="291" t="s">
        <v>121</v>
      </c>
      <c r="B473" s="292"/>
      <c r="C473" s="292"/>
      <c r="D473" s="292"/>
      <c r="E473" s="292"/>
      <c r="F473" s="292"/>
      <c r="G473" s="292"/>
      <c r="H473" s="292"/>
      <c r="I473" s="292"/>
      <c r="J473" s="293"/>
      <c r="K473" s="194">
        <f>K472</f>
        <v>13017714</v>
      </c>
      <c r="L473" s="194">
        <f>L472</f>
        <v>13017714</v>
      </c>
      <c r="M473" s="203"/>
    </row>
    <row r="474" spans="1:13" s="71" customFormat="1" ht="12.75" customHeight="1" outlineLevel="1">
      <c r="A474" s="178">
        <v>44859</v>
      </c>
      <c r="B474" s="178">
        <v>44861</v>
      </c>
      <c r="C474" s="174" t="s">
        <v>136</v>
      </c>
      <c r="D474" s="192" t="s">
        <v>264</v>
      </c>
      <c r="E474" s="171">
        <v>44951</v>
      </c>
      <c r="F474" s="182" t="s">
        <v>128</v>
      </c>
      <c r="G474" s="182">
        <v>0.04</v>
      </c>
      <c r="H474" s="182">
        <v>4.65E-2</v>
      </c>
      <c r="I474" s="179">
        <v>4.2000000000000003E-2</v>
      </c>
      <c r="J474" s="179">
        <v>4.2500000000000003E-2</v>
      </c>
      <c r="K474" s="173">
        <v>185000</v>
      </c>
      <c r="L474" s="184">
        <v>150000</v>
      </c>
      <c r="M474" s="188">
        <f>IF(L474=0,0,K474/L474)</f>
        <v>1.2333333333333334</v>
      </c>
    </row>
    <row r="475" spans="1:13" s="71" customFormat="1" ht="12.75" customHeight="1" outlineLevel="1">
      <c r="A475" s="178"/>
      <c r="B475" s="171"/>
      <c r="C475" s="174"/>
      <c r="D475" s="192" t="s">
        <v>217</v>
      </c>
      <c r="E475" s="171">
        <v>45127</v>
      </c>
      <c r="F475" s="182" t="s">
        <v>128</v>
      </c>
      <c r="G475" s="182">
        <v>4.3499999999999997E-2</v>
      </c>
      <c r="H475" s="182">
        <v>6.0499999999999998E-2</v>
      </c>
      <c r="I475" s="182">
        <v>4.3999999999999997E-2</v>
      </c>
      <c r="J475" s="179">
        <v>4.4499999999999998E-2</v>
      </c>
      <c r="K475" s="173">
        <v>425000</v>
      </c>
      <c r="L475" s="184">
        <v>100000</v>
      </c>
      <c r="M475" s="183">
        <f t="shared" ref="M475:M481" si="72">IF(L475=0,0,K475/L475)</f>
        <v>4.25</v>
      </c>
    </row>
    <row r="476" spans="1:13" s="71" customFormat="1" ht="12.75" customHeight="1" outlineLevel="1">
      <c r="A476" s="169"/>
      <c r="B476" s="169"/>
      <c r="C476" s="169"/>
      <c r="D476" s="192" t="s">
        <v>225</v>
      </c>
      <c r="E476" s="171">
        <v>46980</v>
      </c>
      <c r="F476" s="182">
        <v>6.3750000000000001E-2</v>
      </c>
      <c r="G476" s="182">
        <v>7.4200000000000002E-2</v>
      </c>
      <c r="H476" s="182">
        <v>7.7899999999999997E-2</v>
      </c>
      <c r="I476" s="179">
        <v>7.4798000000000003E-2</v>
      </c>
      <c r="J476" s="179">
        <v>7.5200000000000003E-2</v>
      </c>
      <c r="K476" s="173">
        <v>4999000</v>
      </c>
      <c r="L476" s="184">
        <v>3500000</v>
      </c>
      <c r="M476" s="183">
        <f t="shared" si="72"/>
        <v>1.4282857142857144</v>
      </c>
    </row>
    <row r="477" spans="1:13" s="71" customFormat="1" ht="12.75" customHeight="1" outlineLevel="1">
      <c r="A477" s="169"/>
      <c r="B477" s="169"/>
      <c r="C477" s="169"/>
      <c r="D477" s="192" t="s">
        <v>265</v>
      </c>
      <c r="E477" s="171">
        <v>47771</v>
      </c>
      <c r="F477" s="182">
        <v>7.3749999999999996E-2</v>
      </c>
      <c r="G477" s="182">
        <v>7.3999999999999996E-2</v>
      </c>
      <c r="H477" s="182">
        <v>7.6799999999999993E-2</v>
      </c>
      <c r="I477" s="179">
        <v>7.4886400000000006E-2</v>
      </c>
      <c r="J477" s="179">
        <v>7.6799999999999993E-2</v>
      </c>
      <c r="K477" s="173">
        <v>2260000</v>
      </c>
      <c r="L477" s="184">
        <v>2260000</v>
      </c>
      <c r="M477" s="190">
        <f t="shared" ref="M477" si="73">IF(L477=0,0,K477/L477)</f>
        <v>1</v>
      </c>
    </row>
    <row r="478" spans="1:13" s="71" customFormat="1" ht="12.75" customHeight="1" outlineLevel="1">
      <c r="A478" s="169"/>
      <c r="B478" s="169"/>
      <c r="C478" s="169"/>
      <c r="D478" s="192" t="s">
        <v>226</v>
      </c>
      <c r="E478" s="171">
        <v>48625</v>
      </c>
      <c r="F478" s="182">
        <v>7.0000000000000007E-2</v>
      </c>
      <c r="G478" s="182">
        <v>7.5800000000000006E-2</v>
      </c>
      <c r="H478" s="182">
        <v>7.9399999999999998E-2</v>
      </c>
      <c r="I478" s="179">
        <v>7.6793600000000004E-2</v>
      </c>
      <c r="J478" s="179">
        <v>7.7200000000000005E-2</v>
      </c>
      <c r="K478" s="173">
        <v>6734700</v>
      </c>
      <c r="L478" s="184">
        <v>4300000</v>
      </c>
      <c r="M478" s="190">
        <f t="shared" si="72"/>
        <v>1.5662093023255814</v>
      </c>
    </row>
    <row r="479" spans="1:13" s="71" customFormat="1" ht="12.75" customHeight="1" outlineLevel="1">
      <c r="A479" s="169"/>
      <c r="B479" s="169"/>
      <c r="C479" s="169"/>
      <c r="D479" s="192" t="s">
        <v>237</v>
      </c>
      <c r="E479" s="171">
        <v>50571</v>
      </c>
      <c r="F479" s="182">
        <v>7.1249999999999994E-2</v>
      </c>
      <c r="G479" s="182">
        <v>7.4999999999999997E-2</v>
      </c>
      <c r="H479" s="182">
        <v>7.7799999999999994E-2</v>
      </c>
      <c r="I479" s="179">
        <v>7.5646699999999997E-2</v>
      </c>
      <c r="J479" s="179">
        <v>7.7700000000000005E-2</v>
      </c>
      <c r="K479" s="173">
        <v>1858600</v>
      </c>
      <c r="L479" s="189">
        <v>1800000</v>
      </c>
      <c r="M479" s="190">
        <f t="shared" si="72"/>
        <v>1.0325555555555554</v>
      </c>
    </row>
    <row r="480" spans="1:13" s="71" customFormat="1" ht="12.75" customHeight="1" outlineLevel="1">
      <c r="A480" s="169"/>
      <c r="B480" s="169"/>
      <c r="C480" s="169"/>
      <c r="D480" s="192" t="s">
        <v>227</v>
      </c>
      <c r="E480" s="171">
        <v>52397</v>
      </c>
      <c r="F480" s="182">
        <v>7.1249999999999994E-2</v>
      </c>
      <c r="G480" s="182">
        <v>7.5700000000000003E-2</v>
      </c>
      <c r="H480" s="182">
        <v>7.8200000000000006E-2</v>
      </c>
      <c r="I480" s="179" t="s">
        <v>130</v>
      </c>
      <c r="J480" s="179" t="s">
        <v>130</v>
      </c>
      <c r="K480" s="173">
        <v>494800</v>
      </c>
      <c r="L480" s="189">
        <v>0</v>
      </c>
      <c r="M480" s="190">
        <f t="shared" si="72"/>
        <v>0</v>
      </c>
    </row>
    <row r="481" spans="1:13" s="71" customFormat="1" ht="12.75" customHeight="1" outlineLevel="1">
      <c r="A481" s="169"/>
      <c r="B481" s="169"/>
      <c r="C481" s="169"/>
      <c r="D481" s="192" t="s">
        <v>137</v>
      </c>
      <c r="E481" s="171">
        <v>55380</v>
      </c>
      <c r="F481" s="182">
        <v>6.8750000000000006E-2</v>
      </c>
      <c r="G481" s="182">
        <v>7.4999999999999997E-2</v>
      </c>
      <c r="H481" s="182">
        <v>7.6300000000000007E-2</v>
      </c>
      <c r="I481" s="179">
        <v>7.5487100000000001E-2</v>
      </c>
      <c r="J481" s="179">
        <v>7.6300000000000007E-2</v>
      </c>
      <c r="K481" s="173">
        <v>131000</v>
      </c>
      <c r="L481" s="189">
        <v>44285</v>
      </c>
      <c r="M481" s="190">
        <f t="shared" si="72"/>
        <v>2.9581122276165743</v>
      </c>
    </row>
    <row r="482" spans="1:13" s="196" customFormat="1" ht="12.75" customHeight="1" outlineLevel="1">
      <c r="A482" s="291" t="s">
        <v>121</v>
      </c>
      <c r="B482" s="292"/>
      <c r="C482" s="292"/>
      <c r="D482" s="292"/>
      <c r="E482" s="292"/>
      <c r="F482" s="292"/>
      <c r="G482" s="292"/>
      <c r="H482" s="292"/>
      <c r="I482" s="292"/>
      <c r="J482" s="293"/>
      <c r="K482" s="194">
        <f>SUM(K474:K481)</f>
        <v>17088100</v>
      </c>
      <c r="L482" s="194">
        <f>SUM(L474:L481)</f>
        <v>12154285</v>
      </c>
      <c r="M482" s="195"/>
    </row>
    <row r="483" spans="1:13" s="180" customFormat="1">
      <c r="A483" s="294" t="s">
        <v>260</v>
      </c>
      <c r="B483" s="295"/>
      <c r="C483" s="295"/>
      <c r="D483" s="295"/>
      <c r="E483" s="295"/>
      <c r="F483" s="295"/>
      <c r="G483" s="295"/>
      <c r="H483" s="295"/>
      <c r="I483" s="295"/>
      <c r="J483" s="296"/>
      <c r="K483" s="193">
        <f>SUM(K437,K443,K446,K454,K465,K471,K473,K482,K458)</f>
        <v>65234338</v>
      </c>
      <c r="L483" s="193">
        <f>SUM(L437,L443,L446,L454,L465,L471,L473,L482,L458)</f>
        <v>42707923</v>
      </c>
      <c r="M483" s="181"/>
    </row>
    <row r="484" spans="1:13" s="180" customFormat="1" ht="12.75" customHeight="1">
      <c r="A484" s="294" t="s">
        <v>268</v>
      </c>
      <c r="B484" s="295"/>
      <c r="C484" s="295"/>
      <c r="D484" s="295"/>
      <c r="E484" s="295"/>
      <c r="F484" s="295"/>
      <c r="G484" s="295"/>
      <c r="H484" s="295"/>
      <c r="I484" s="295"/>
      <c r="J484" s="296"/>
      <c r="K484" s="193">
        <f>SUM(K430,K483)</f>
        <v>1740888122.8</v>
      </c>
      <c r="L484" s="193">
        <f>SUM(L430,L483)</f>
        <v>862409907.79999995</v>
      </c>
      <c r="M484" s="181"/>
    </row>
    <row r="485" spans="1:13" s="71" customFormat="1" ht="12" customHeight="1" outlineLevel="1">
      <c r="A485" s="178">
        <v>44866</v>
      </c>
      <c r="B485" s="178">
        <v>44868</v>
      </c>
      <c r="C485" s="174" t="s">
        <v>136</v>
      </c>
      <c r="D485" s="192" t="s">
        <v>266</v>
      </c>
      <c r="E485" s="171">
        <v>45048</v>
      </c>
      <c r="F485" s="276" t="s">
        <v>128</v>
      </c>
      <c r="G485" s="218">
        <v>4.4400000000000002E-2</v>
      </c>
      <c r="H485" s="182">
        <v>4.5600000000000002E-2</v>
      </c>
      <c r="I485" s="274">
        <v>4.4632699999999997E-2</v>
      </c>
      <c r="J485" s="275">
        <v>4.4999999999999998E-2</v>
      </c>
      <c r="K485" s="242">
        <v>550000</v>
      </c>
      <c r="L485" s="242">
        <v>500000</v>
      </c>
      <c r="M485" s="220" t="s">
        <v>130</v>
      </c>
    </row>
    <row r="486" spans="1:13" s="71" customFormat="1" ht="12.75" customHeight="1" outlineLevel="1">
      <c r="A486" s="178"/>
      <c r="B486" s="171"/>
      <c r="C486" s="174"/>
      <c r="D486" s="192" t="s">
        <v>228</v>
      </c>
      <c r="E486" s="171">
        <v>45884</v>
      </c>
      <c r="F486" s="182">
        <v>5.3749999999999999E-2</v>
      </c>
      <c r="G486" s="218">
        <v>6.5699999999999995E-2</v>
      </c>
      <c r="H486" s="182">
        <v>7.0999999999999994E-2</v>
      </c>
      <c r="I486" s="179">
        <v>6.5699999999999995E-2</v>
      </c>
      <c r="J486" s="233">
        <v>6.5699999999999995E-2</v>
      </c>
      <c r="K486" s="198">
        <v>1095000</v>
      </c>
      <c r="L486" s="219">
        <v>7000</v>
      </c>
      <c r="M486" s="190">
        <f t="shared" ref="M486:M490" si="74">IF(L486=0,0,K486/L486)</f>
        <v>156.42857142857142</v>
      </c>
    </row>
    <row r="487" spans="1:13" s="71" customFormat="1" ht="12.75" customHeight="1" outlineLevel="1">
      <c r="A487" s="169"/>
      <c r="B487" s="169"/>
      <c r="C487" s="169"/>
      <c r="D487" s="192" t="s">
        <v>50</v>
      </c>
      <c r="E487" s="171">
        <v>46402</v>
      </c>
      <c r="F487" s="182">
        <v>0.06</v>
      </c>
      <c r="G487" s="218">
        <v>7.0000000000000007E-2</v>
      </c>
      <c r="H487" s="182">
        <v>7.3499999999999996E-2</v>
      </c>
      <c r="I487" s="179">
        <v>7.1300000000000002E-2</v>
      </c>
      <c r="J487" s="233">
        <v>7.1300000000000002E-2</v>
      </c>
      <c r="K487" s="198">
        <v>678000</v>
      </c>
      <c r="L487" s="219">
        <v>170000</v>
      </c>
      <c r="M487" s="190">
        <f t="shared" si="74"/>
        <v>3.9882352941176471</v>
      </c>
    </row>
    <row r="488" spans="1:13" s="71" customFormat="1" ht="12.75" customHeight="1" outlineLevel="1">
      <c r="A488" s="169"/>
      <c r="B488" s="169"/>
      <c r="C488" s="169"/>
      <c r="D488" s="192" t="s">
        <v>147</v>
      </c>
      <c r="E488" s="171">
        <v>49018</v>
      </c>
      <c r="F488" s="182">
        <v>6.3750000000000001E-2</v>
      </c>
      <c r="G488" s="218">
        <v>7.6499999999999999E-2</v>
      </c>
      <c r="H488" s="182">
        <v>7.85E-2</v>
      </c>
      <c r="I488" s="179">
        <v>7.7899999999999997E-2</v>
      </c>
      <c r="J488" s="233">
        <v>7.7899999999999997E-2</v>
      </c>
      <c r="K488" s="198">
        <v>1448000</v>
      </c>
      <c r="L488" s="219">
        <v>600000</v>
      </c>
      <c r="M488" s="190">
        <f t="shared" si="74"/>
        <v>2.4133333333333336</v>
      </c>
    </row>
    <row r="489" spans="1:13" s="71" customFormat="1" ht="12.75" customHeight="1" outlineLevel="1">
      <c r="A489" s="169"/>
      <c r="B489" s="169"/>
      <c r="C489" s="169"/>
      <c r="D489" s="192" t="s">
        <v>149</v>
      </c>
      <c r="E489" s="171">
        <v>50936</v>
      </c>
      <c r="F489" s="182">
        <v>6.5000000000000002E-2</v>
      </c>
      <c r="G489" s="182">
        <v>7.6499999999999999E-2</v>
      </c>
      <c r="H489" s="182">
        <v>7.7499999999999999E-2</v>
      </c>
      <c r="I489" s="234">
        <v>7.6499999999999999E-2</v>
      </c>
      <c r="J489" s="241">
        <v>7.6499999999999999E-2</v>
      </c>
      <c r="K489" s="198">
        <v>155000</v>
      </c>
      <c r="L489" s="219">
        <v>70000</v>
      </c>
      <c r="M489" s="190">
        <f t="shared" si="74"/>
        <v>2.2142857142857144</v>
      </c>
    </row>
    <row r="490" spans="1:13" s="71" customFormat="1" ht="12.75" customHeight="1" outlineLevel="1">
      <c r="A490" s="169"/>
      <c r="B490" s="169"/>
      <c r="C490" s="169"/>
      <c r="D490" s="192" t="s">
        <v>150</v>
      </c>
      <c r="E490" s="171">
        <v>53858</v>
      </c>
      <c r="F490" s="182">
        <v>6.7500000000000004E-2</v>
      </c>
      <c r="G490" s="182">
        <v>7.6399999999999996E-2</v>
      </c>
      <c r="H490" s="182">
        <v>7.85E-2</v>
      </c>
      <c r="I490" s="233">
        <v>7.7299999999999994E-2</v>
      </c>
      <c r="J490" s="238">
        <v>7.7299999999999994E-2</v>
      </c>
      <c r="K490" s="198">
        <v>416100</v>
      </c>
      <c r="L490" s="198">
        <v>25000</v>
      </c>
      <c r="M490" s="190">
        <f t="shared" si="74"/>
        <v>16.643999999999998</v>
      </c>
    </row>
    <row r="491" spans="1:13" s="196" customFormat="1" ht="12.75" customHeight="1" outlineLevel="1">
      <c r="A491" s="297" t="s">
        <v>121</v>
      </c>
      <c r="B491" s="298"/>
      <c r="C491" s="298"/>
      <c r="D491" s="298"/>
      <c r="E491" s="298"/>
      <c r="F491" s="298"/>
      <c r="G491" s="298"/>
      <c r="H491" s="298"/>
      <c r="I491" s="298"/>
      <c r="J491" s="299"/>
      <c r="K491" s="199">
        <f>SUM(K485:K490)</f>
        <v>4342100</v>
      </c>
      <c r="L491" s="199">
        <f>SUM(L485:L490)</f>
        <v>1372000</v>
      </c>
      <c r="M491" s="195"/>
    </row>
    <row r="492" spans="1:13" s="71" customFormat="1" ht="12" customHeight="1" outlineLevel="1">
      <c r="A492" s="178">
        <v>44867</v>
      </c>
      <c r="B492" s="178">
        <v>44868</v>
      </c>
      <c r="C492" s="174" t="s">
        <v>136</v>
      </c>
      <c r="D492" s="192" t="s">
        <v>228</v>
      </c>
      <c r="E492" s="171">
        <v>45884</v>
      </c>
      <c r="F492" s="182">
        <v>5.3749999999999999E-2</v>
      </c>
      <c r="H492" s="218" t="s">
        <v>130</v>
      </c>
      <c r="I492" s="218" t="s">
        <v>130</v>
      </c>
      <c r="J492" s="218" t="s">
        <v>130</v>
      </c>
      <c r="K492" s="198">
        <v>169100</v>
      </c>
      <c r="L492" s="198">
        <v>169100</v>
      </c>
      <c r="M492" s="190">
        <f>IF(L492=0,0,K492/L492)</f>
        <v>1</v>
      </c>
    </row>
    <row r="493" spans="1:13" s="71" customFormat="1" ht="12.75" customHeight="1" outlineLevel="1">
      <c r="A493" s="178"/>
      <c r="B493" s="171"/>
      <c r="C493" s="174"/>
      <c r="D493" s="192" t="s">
        <v>50</v>
      </c>
      <c r="E493" s="171">
        <v>46402</v>
      </c>
      <c r="F493" s="182">
        <v>0.06</v>
      </c>
      <c r="H493" s="218" t="s">
        <v>130</v>
      </c>
      <c r="I493" s="218" t="s">
        <v>130</v>
      </c>
      <c r="J493" s="218" t="s">
        <v>130</v>
      </c>
      <c r="K493" s="198">
        <v>103400</v>
      </c>
      <c r="L493" s="198">
        <v>103400</v>
      </c>
      <c r="M493" s="190">
        <f>IF(L493=0,0,K493/L493)</f>
        <v>1</v>
      </c>
    </row>
    <row r="494" spans="1:13" s="71" customFormat="1" ht="12.75" customHeight="1" outlineLevel="1">
      <c r="A494" s="169"/>
      <c r="B494" s="169"/>
      <c r="C494" s="169"/>
      <c r="D494" s="192" t="s">
        <v>147</v>
      </c>
      <c r="E494" s="171">
        <v>49018</v>
      </c>
      <c r="F494" s="182">
        <v>6.3750000000000001E-2</v>
      </c>
      <c r="H494" s="218" t="s">
        <v>130</v>
      </c>
      <c r="I494" s="218" t="s">
        <v>130</v>
      </c>
      <c r="J494" s="218" t="s">
        <v>130</v>
      </c>
      <c r="K494" s="198">
        <v>782800</v>
      </c>
      <c r="L494" s="198">
        <v>782800</v>
      </c>
      <c r="M494" s="190">
        <f>IF(L494=0,0,K494/L494)</f>
        <v>1</v>
      </c>
    </row>
    <row r="495" spans="1:13" s="71" customFormat="1" ht="12.75" customHeight="1" outlineLevel="1">
      <c r="A495" s="169"/>
      <c r="B495" s="169"/>
      <c r="C495" s="169"/>
      <c r="D495" s="192" t="s">
        <v>149</v>
      </c>
      <c r="E495" s="171">
        <v>50936</v>
      </c>
      <c r="F495" s="182">
        <v>6.5000000000000002E-2</v>
      </c>
      <c r="H495" s="218" t="s">
        <v>130</v>
      </c>
      <c r="I495" s="218" t="s">
        <v>130</v>
      </c>
      <c r="J495" s="218" t="s">
        <v>130</v>
      </c>
      <c r="K495" s="198">
        <v>100000</v>
      </c>
      <c r="L495" s="198">
        <v>100000</v>
      </c>
      <c r="M495" s="190">
        <f>IF(L495=0,0,K495/L495)</f>
        <v>1</v>
      </c>
    </row>
    <row r="496" spans="1:13" s="71" customFormat="1" ht="12.75" customHeight="1" outlineLevel="1">
      <c r="A496" s="169"/>
      <c r="B496" s="169"/>
      <c r="C496" s="169"/>
      <c r="D496" s="192" t="s">
        <v>150</v>
      </c>
      <c r="E496" s="171">
        <v>53858</v>
      </c>
      <c r="F496" s="182">
        <v>6.7500000000000004E-2</v>
      </c>
      <c r="G496" s="218" t="s">
        <v>130</v>
      </c>
      <c r="H496" s="218" t="s">
        <v>130</v>
      </c>
      <c r="I496" s="218" t="s">
        <v>130</v>
      </c>
      <c r="J496" s="218" t="s">
        <v>130</v>
      </c>
      <c r="K496" s="277">
        <v>300000</v>
      </c>
      <c r="L496" s="277">
        <v>300000</v>
      </c>
      <c r="M496" s="220" t="s">
        <v>130</v>
      </c>
    </row>
    <row r="497" spans="1:13" s="196" customFormat="1" ht="12.75" customHeight="1" outlineLevel="1">
      <c r="A497" s="297" t="s">
        <v>121</v>
      </c>
      <c r="B497" s="298"/>
      <c r="C497" s="298"/>
      <c r="D497" s="298"/>
      <c r="E497" s="298"/>
      <c r="F497" s="298"/>
      <c r="G497" s="298"/>
      <c r="H497" s="298"/>
      <c r="I497" s="298"/>
      <c r="J497" s="299"/>
      <c r="K497" s="199">
        <f>SUM(K492:K496)</f>
        <v>1455300</v>
      </c>
      <c r="L497" s="199">
        <f>SUM(L492:L496)</f>
        <v>1455300</v>
      </c>
      <c r="M497" s="195"/>
    </row>
    <row r="498" spans="1:13" s="71" customFormat="1" ht="12.75" customHeight="1" outlineLevel="1">
      <c r="A498" s="261">
        <v>44868</v>
      </c>
      <c r="B498" s="262">
        <v>44872</v>
      </c>
      <c r="C498" s="263" t="s">
        <v>166</v>
      </c>
      <c r="D498" s="271" t="s">
        <v>147</v>
      </c>
      <c r="E498" s="262">
        <v>49018</v>
      </c>
      <c r="F498" s="270">
        <v>6.3750000000000001E-2</v>
      </c>
      <c r="G498" s="265"/>
      <c r="H498" s="265"/>
      <c r="I498" s="266"/>
      <c r="J498" s="266"/>
      <c r="K498" s="267">
        <v>1172700</v>
      </c>
      <c r="L498" s="267">
        <v>1172700</v>
      </c>
      <c r="M498" s="190">
        <f>IF(L498=0,0,K498/L498)</f>
        <v>1</v>
      </c>
    </row>
    <row r="499" spans="1:13" s="71" customFormat="1" ht="12.75" customHeight="1" outlineLevel="1">
      <c r="A499" s="178"/>
      <c r="B499" s="171"/>
      <c r="C499" s="200"/>
      <c r="D499" s="272" t="s">
        <v>238</v>
      </c>
      <c r="E499" s="273">
        <v>47376</v>
      </c>
      <c r="F499" s="264">
        <v>6.6250000000000003E-2</v>
      </c>
      <c r="G499" s="182"/>
      <c r="H499" s="182"/>
      <c r="I499" s="179"/>
      <c r="J499" s="179"/>
      <c r="K499" s="280">
        <v>1000000</v>
      </c>
      <c r="L499" s="267">
        <v>1000000</v>
      </c>
      <c r="M499" s="183"/>
    </row>
    <row r="500" spans="1:13" s="71" customFormat="1" ht="12.75" customHeight="1" outlineLevel="1">
      <c r="A500" s="300" t="s">
        <v>121</v>
      </c>
      <c r="B500" s="300"/>
      <c r="C500" s="300"/>
      <c r="D500" s="300"/>
      <c r="E500" s="301"/>
      <c r="F500" s="300"/>
      <c r="G500" s="300"/>
      <c r="H500" s="300"/>
      <c r="I500" s="300"/>
      <c r="J500" s="300"/>
      <c r="K500" s="199">
        <f>SUM(K498:K499)</f>
        <v>2172700</v>
      </c>
      <c r="L500" s="199">
        <f>SUM(L498:L499)</f>
        <v>2172700</v>
      </c>
      <c r="M500" s="269"/>
    </row>
    <row r="501" spans="1:13" s="71" customFormat="1" ht="12.75" customHeight="1" outlineLevel="1">
      <c r="A501" s="178">
        <v>44873</v>
      </c>
      <c r="B501" s="178">
        <v>44875</v>
      </c>
      <c r="C501" s="174" t="s">
        <v>136</v>
      </c>
      <c r="D501" s="192" t="s">
        <v>269</v>
      </c>
      <c r="E501" s="171">
        <v>44965</v>
      </c>
      <c r="F501" s="182" t="s">
        <v>128</v>
      </c>
      <c r="G501" s="182">
        <v>4.2000000000000003E-2</v>
      </c>
      <c r="H501" s="182">
        <v>0.05</v>
      </c>
      <c r="I501" s="179">
        <v>4.2639999999999997E-2</v>
      </c>
      <c r="J501" s="179">
        <v>4.2999999999999997E-2</v>
      </c>
      <c r="K501" s="173">
        <v>2195000</v>
      </c>
      <c r="L501" s="184">
        <v>1000000</v>
      </c>
      <c r="M501" s="188">
        <f>IF(L501=0,0,K501/L501)</f>
        <v>2.1949999999999998</v>
      </c>
    </row>
    <row r="502" spans="1:13" s="71" customFormat="1" ht="12.75" customHeight="1" outlineLevel="1">
      <c r="A502" s="178"/>
      <c r="B502" s="171"/>
      <c r="C502" s="174"/>
      <c r="D502" s="192" t="s">
        <v>270</v>
      </c>
      <c r="E502" s="171">
        <v>45239</v>
      </c>
      <c r="F502" s="182" t="s">
        <v>128</v>
      </c>
      <c r="G502" s="182">
        <v>4.7500000000000001E-2</v>
      </c>
      <c r="H502" s="182">
        <v>5.5E-2</v>
      </c>
      <c r="I502" s="182">
        <v>4.8000000000000001E-2</v>
      </c>
      <c r="J502" s="179">
        <v>4.8500000000000001E-2</v>
      </c>
      <c r="K502" s="173">
        <v>2075000</v>
      </c>
      <c r="L502" s="184">
        <v>1500000</v>
      </c>
      <c r="M502" s="183">
        <f t="shared" ref="M502:M507" si="75">IF(L502=0,0,K502/L502)</f>
        <v>1.3833333333333333</v>
      </c>
    </row>
    <row r="503" spans="1:13" s="71" customFormat="1" ht="12.75" customHeight="1" outlineLevel="1">
      <c r="A503" s="169"/>
      <c r="B503" s="169"/>
      <c r="C503" s="169"/>
      <c r="D503" s="192" t="s">
        <v>225</v>
      </c>
      <c r="E503" s="171">
        <v>46980</v>
      </c>
      <c r="F503" s="182">
        <v>6.3750000000000001E-2</v>
      </c>
      <c r="G503" s="182">
        <v>7.2900000000000006E-2</v>
      </c>
      <c r="H503" s="182">
        <v>7.5700000000000003E-2</v>
      </c>
      <c r="I503" s="179">
        <v>7.3516600000000001E-2</v>
      </c>
      <c r="J503" s="179">
        <v>7.4499999999999997E-2</v>
      </c>
      <c r="K503" s="173">
        <v>7418800</v>
      </c>
      <c r="L503" s="184">
        <v>6490000</v>
      </c>
      <c r="M503" s="183">
        <f t="shared" si="75"/>
        <v>1.1431124807395994</v>
      </c>
    </row>
    <row r="504" spans="1:13" s="71" customFormat="1" ht="12.75" customHeight="1" outlineLevel="1">
      <c r="A504" s="169"/>
      <c r="B504" s="169"/>
      <c r="C504" s="169"/>
      <c r="D504" s="192" t="s">
        <v>226</v>
      </c>
      <c r="E504" s="171">
        <v>48625</v>
      </c>
      <c r="F504" s="182">
        <v>7.0000000000000007E-2</v>
      </c>
      <c r="G504" s="182">
        <v>7.5800000000000006E-2</v>
      </c>
      <c r="H504" s="182">
        <v>7.8E-2</v>
      </c>
      <c r="I504" s="179">
        <v>7.6196399999999997E-2</v>
      </c>
      <c r="J504" s="179">
        <v>7.6300000000000007E-2</v>
      </c>
      <c r="K504" s="173">
        <v>9986400</v>
      </c>
      <c r="L504" s="184">
        <v>950000</v>
      </c>
      <c r="M504" s="190">
        <f t="shared" si="75"/>
        <v>10.512</v>
      </c>
    </row>
    <row r="505" spans="1:13" s="71" customFormat="1" ht="12.75" customHeight="1" outlineLevel="1">
      <c r="A505" s="169"/>
      <c r="B505" s="169"/>
      <c r="C505" s="169"/>
      <c r="D505" s="192" t="s">
        <v>237</v>
      </c>
      <c r="E505" s="171">
        <v>50571</v>
      </c>
      <c r="F505" s="182">
        <v>7.1249999999999994E-2</v>
      </c>
      <c r="G505" s="182">
        <v>7.4800000000000005E-2</v>
      </c>
      <c r="H505" s="182">
        <v>7.8E-2</v>
      </c>
      <c r="I505" s="179">
        <v>7.5050000000000006E-2</v>
      </c>
      <c r="J505" s="179">
        <v>7.5800000000000006E-2</v>
      </c>
      <c r="K505" s="173">
        <v>740400</v>
      </c>
      <c r="L505" s="189">
        <v>40000</v>
      </c>
      <c r="M505" s="190">
        <f t="shared" si="75"/>
        <v>18.510000000000002</v>
      </c>
    </row>
    <row r="506" spans="1:13" s="71" customFormat="1" ht="12.75" customHeight="1" outlineLevel="1">
      <c r="A506" s="169"/>
      <c r="B506" s="169"/>
      <c r="C506" s="169"/>
      <c r="D506" s="192" t="s">
        <v>227</v>
      </c>
      <c r="E506" s="171">
        <v>52397</v>
      </c>
      <c r="F506" s="182">
        <v>7.1249999999999994E-2</v>
      </c>
      <c r="G506" s="182">
        <v>7.4999999999999997E-2</v>
      </c>
      <c r="H506" s="182">
        <v>7.7799999999999994E-2</v>
      </c>
      <c r="I506" s="179">
        <v>7.5300000000000006E-2</v>
      </c>
      <c r="J506" s="179">
        <v>7.5499999999999998E-2</v>
      </c>
      <c r="K506" s="173">
        <v>430500</v>
      </c>
      <c r="L506" s="189">
        <v>10000</v>
      </c>
      <c r="M506" s="190">
        <f t="shared" si="75"/>
        <v>43.05</v>
      </c>
    </row>
    <row r="507" spans="1:13" s="71" customFormat="1" ht="12.75" customHeight="1" outlineLevel="1">
      <c r="A507" s="169"/>
      <c r="B507" s="169"/>
      <c r="C507" s="169"/>
      <c r="D507" s="192" t="s">
        <v>137</v>
      </c>
      <c r="E507" s="171">
        <v>55380</v>
      </c>
      <c r="F507" s="182">
        <v>6.8750000000000006E-2</v>
      </c>
      <c r="G507" s="182">
        <v>7.5800000000000006E-2</v>
      </c>
      <c r="H507" s="182">
        <v>7.7499999999999999E-2</v>
      </c>
      <c r="I507" s="179">
        <v>7.59214E-2</v>
      </c>
      <c r="J507" s="179">
        <v>7.6300000000000007E-2</v>
      </c>
      <c r="K507" s="173">
        <v>143500</v>
      </c>
      <c r="L507" s="189">
        <v>10000</v>
      </c>
      <c r="M507" s="190">
        <f t="shared" si="75"/>
        <v>14.35</v>
      </c>
    </row>
    <row r="508" spans="1:13" s="196" customFormat="1" ht="12.75" customHeight="1" outlineLevel="1">
      <c r="A508" s="291" t="s">
        <v>121</v>
      </c>
      <c r="B508" s="292"/>
      <c r="C508" s="292"/>
      <c r="D508" s="292"/>
      <c r="E508" s="292"/>
      <c r="F508" s="292"/>
      <c r="G508" s="292"/>
      <c r="H508" s="292"/>
      <c r="I508" s="292"/>
      <c r="J508" s="293"/>
      <c r="K508" s="194">
        <f>SUM(K501:K507)</f>
        <v>22989600</v>
      </c>
      <c r="L508" s="194">
        <f>SUM(L501:L507)</f>
        <v>10000000</v>
      </c>
      <c r="M508" s="195"/>
    </row>
    <row r="509" spans="1:13" s="71" customFormat="1" ht="12" customHeight="1" outlineLevel="1">
      <c r="A509" s="178">
        <v>44880</v>
      </c>
      <c r="B509" s="178">
        <v>44882</v>
      </c>
      <c r="C509" s="174" t="s">
        <v>136</v>
      </c>
      <c r="D509" s="192" t="s">
        <v>266</v>
      </c>
      <c r="E509" s="171">
        <v>45048</v>
      </c>
      <c r="F509" s="276" t="s">
        <v>128</v>
      </c>
      <c r="G509" s="218">
        <v>0</v>
      </c>
      <c r="H509" s="182">
        <v>0</v>
      </c>
      <c r="I509" s="274" t="s">
        <v>130</v>
      </c>
      <c r="J509" s="275" t="s">
        <v>130</v>
      </c>
      <c r="K509" s="242">
        <v>0</v>
      </c>
      <c r="L509" s="242" t="s">
        <v>130</v>
      </c>
      <c r="M509" s="220" t="s">
        <v>130</v>
      </c>
    </row>
    <row r="510" spans="1:13" s="71" customFormat="1" ht="12.75" customHeight="1" outlineLevel="1">
      <c r="A510" s="178"/>
      <c r="B510" s="171"/>
      <c r="C510" s="174"/>
      <c r="D510" s="192" t="s">
        <v>228</v>
      </c>
      <c r="E510" s="171">
        <v>45884</v>
      </c>
      <c r="F510" s="182">
        <v>5.3749999999999999E-2</v>
      </c>
      <c r="G510" s="218">
        <v>6.5000000000000002E-2</v>
      </c>
      <c r="H510" s="182">
        <v>6.8500000000000005E-2</v>
      </c>
      <c r="I510" s="179">
        <v>6.5161899999999995E-2</v>
      </c>
      <c r="J510" s="233">
        <v>6.54E-2</v>
      </c>
      <c r="K510" s="198">
        <v>2395000</v>
      </c>
      <c r="L510" s="219">
        <v>30000</v>
      </c>
      <c r="M510" s="190">
        <f t="shared" ref="M510:M514" si="76">IF(L510=0,0,K510/L510)</f>
        <v>79.833333333333329</v>
      </c>
    </row>
    <row r="511" spans="1:13" s="71" customFormat="1" ht="12.75" customHeight="1" outlineLevel="1">
      <c r="A511" s="169"/>
      <c r="B511" s="169"/>
      <c r="C511" s="169"/>
      <c r="D511" s="192" t="s">
        <v>50</v>
      </c>
      <c r="E511" s="171">
        <v>46402</v>
      </c>
      <c r="F511" s="182">
        <v>0.06</v>
      </c>
      <c r="G511" s="218">
        <v>6.9000000000000006E-2</v>
      </c>
      <c r="H511" s="182">
        <v>7.0999999999999994E-2</v>
      </c>
      <c r="I511" s="179">
        <v>6.9892899999999994E-2</v>
      </c>
      <c r="J511" s="233">
        <v>7.0000000000000007E-2</v>
      </c>
      <c r="K511" s="198">
        <v>1236000</v>
      </c>
      <c r="L511" s="219">
        <v>60000</v>
      </c>
      <c r="M511" s="190">
        <f t="shared" si="76"/>
        <v>20.6</v>
      </c>
    </row>
    <row r="512" spans="1:13" s="71" customFormat="1" ht="12.75" customHeight="1" outlineLevel="1">
      <c r="A512" s="169"/>
      <c r="B512" s="169"/>
      <c r="C512" s="169"/>
      <c r="D512" s="192" t="s">
        <v>238</v>
      </c>
      <c r="E512" s="171">
        <v>47376</v>
      </c>
      <c r="F512" s="182">
        <v>6.6250000000000003E-2</v>
      </c>
      <c r="G512" s="218">
        <v>6.7500000000000004E-2</v>
      </c>
      <c r="H512" s="182">
        <v>7.1499999999999994E-2</v>
      </c>
      <c r="I512" s="179">
        <v>6.7500000000000004E-2</v>
      </c>
      <c r="J512" s="233">
        <v>6.7500000000000004E-2</v>
      </c>
      <c r="K512" s="198">
        <v>1414000</v>
      </c>
      <c r="L512" s="219">
        <v>70000</v>
      </c>
      <c r="M512" s="190">
        <f t="shared" si="76"/>
        <v>20.2</v>
      </c>
    </row>
    <row r="513" spans="1:13" s="71" customFormat="1" ht="12.75" customHeight="1" outlineLevel="1">
      <c r="A513" s="169"/>
      <c r="B513" s="169"/>
      <c r="C513" s="169"/>
      <c r="D513" s="192" t="s">
        <v>147</v>
      </c>
      <c r="E513" s="171">
        <v>49018</v>
      </c>
      <c r="F513" s="182">
        <v>6.3750000000000001E-2</v>
      </c>
      <c r="G513" s="182">
        <v>7.6100000000000001E-2</v>
      </c>
      <c r="H513" s="182">
        <v>8.09E-2</v>
      </c>
      <c r="I513" s="234">
        <v>7.6406500000000002E-2</v>
      </c>
      <c r="J513" s="241">
        <v>7.6999999999999999E-2</v>
      </c>
      <c r="K513" s="198">
        <v>6316000</v>
      </c>
      <c r="L513" s="219">
        <v>5800000</v>
      </c>
      <c r="M513" s="190">
        <f t="shared" si="76"/>
        <v>1.0889655172413792</v>
      </c>
    </row>
    <row r="514" spans="1:13" s="71" customFormat="1" ht="12.75" customHeight="1" outlineLevel="1">
      <c r="A514" s="169"/>
      <c r="B514" s="169"/>
      <c r="C514" s="169"/>
      <c r="D514" s="192" t="s">
        <v>150</v>
      </c>
      <c r="E514" s="171">
        <v>53858</v>
      </c>
      <c r="F514" s="182">
        <v>6.7500000000000004E-2</v>
      </c>
      <c r="G514" s="182">
        <v>7.6799999999999993E-2</v>
      </c>
      <c r="H514" s="182">
        <v>7.9899999999999999E-2</v>
      </c>
      <c r="I514" s="233">
        <v>7.6990500000000003E-2</v>
      </c>
      <c r="J514" s="238">
        <v>7.7299999999999994E-2</v>
      </c>
      <c r="K514" s="198">
        <v>153500</v>
      </c>
      <c r="L514" s="198">
        <v>15000</v>
      </c>
      <c r="M514" s="190">
        <f t="shared" si="76"/>
        <v>10.233333333333333</v>
      </c>
    </row>
    <row r="515" spans="1:13" s="196" customFormat="1" ht="12.75" customHeight="1" outlineLevel="1">
      <c r="A515" s="297" t="s">
        <v>121</v>
      </c>
      <c r="B515" s="298"/>
      <c r="C515" s="298"/>
      <c r="D515" s="298"/>
      <c r="E515" s="298"/>
      <c r="F515" s="298"/>
      <c r="G515" s="298"/>
      <c r="H515" s="298"/>
      <c r="I515" s="298"/>
      <c r="J515" s="299"/>
      <c r="K515" s="199">
        <f>SUM(K509:K514)</f>
        <v>11514500</v>
      </c>
      <c r="L515" s="199">
        <f>SUM(L509:L514)</f>
        <v>5975000</v>
      </c>
      <c r="M515" s="195"/>
    </row>
    <row r="516" spans="1:13" s="71" customFormat="1" ht="12.75" customHeight="1" outlineLevel="1">
      <c r="A516" s="178">
        <v>44887</v>
      </c>
      <c r="B516" s="178">
        <v>44889</v>
      </c>
      <c r="C516" s="174" t="s">
        <v>136</v>
      </c>
      <c r="D516" s="192" t="s">
        <v>272</v>
      </c>
      <c r="E516" s="171">
        <v>44979</v>
      </c>
      <c r="F516" s="182" t="s">
        <v>128</v>
      </c>
      <c r="G516" s="182">
        <v>4.3799999999999999E-2</v>
      </c>
      <c r="H516" s="182">
        <v>5.2499999999999998E-2</v>
      </c>
      <c r="I516" s="179">
        <v>4.5018799999999998E-2</v>
      </c>
      <c r="J516" s="179">
        <v>4.5999999999999999E-2</v>
      </c>
      <c r="K516" s="173">
        <v>1945000</v>
      </c>
      <c r="L516" s="184">
        <v>1000000</v>
      </c>
      <c r="M516" s="188">
        <f>IF(L516=0,0,K516/L516)</f>
        <v>1.9450000000000001</v>
      </c>
    </row>
    <row r="517" spans="1:13" s="71" customFormat="1" ht="12.75" customHeight="1" outlineLevel="1">
      <c r="A517" s="178"/>
      <c r="B517" s="171"/>
      <c r="C517" s="174"/>
      <c r="D517" s="192" t="s">
        <v>224</v>
      </c>
      <c r="E517" s="171">
        <v>45156</v>
      </c>
      <c r="F517" s="182" t="s">
        <v>128</v>
      </c>
      <c r="G517" s="182">
        <v>0.05</v>
      </c>
      <c r="H517" s="182">
        <v>5.7500000000000002E-2</v>
      </c>
      <c r="I517" s="182">
        <v>5.1249999999999997E-2</v>
      </c>
      <c r="J517" s="179">
        <v>5.2499999999999998E-2</v>
      </c>
      <c r="K517" s="173">
        <v>925000</v>
      </c>
      <c r="L517" s="184">
        <v>900000</v>
      </c>
      <c r="M517" s="183">
        <f t="shared" ref="M517:M523" si="77">IF(L517=0,0,K517/L517)</f>
        <v>1.0277777777777777</v>
      </c>
    </row>
    <row r="518" spans="1:13" s="71" customFormat="1" ht="12.75" customHeight="1" outlineLevel="1">
      <c r="A518" s="169"/>
      <c r="B518" s="169"/>
      <c r="C518" s="169"/>
      <c r="D518" s="192" t="s">
        <v>225</v>
      </c>
      <c r="E518" s="171">
        <v>46980</v>
      </c>
      <c r="F518" s="182">
        <v>6.3750000000000001E-2</v>
      </c>
      <c r="G518" s="182">
        <v>6.9900000000000004E-2</v>
      </c>
      <c r="H518" s="182">
        <v>7.3999999999999996E-2</v>
      </c>
      <c r="I518" s="179">
        <v>7.1297399999999997E-2</v>
      </c>
      <c r="J518" s="179">
        <v>7.1800000000000003E-2</v>
      </c>
      <c r="K518" s="173">
        <v>8818600</v>
      </c>
      <c r="L518" s="184">
        <v>4800000</v>
      </c>
      <c r="M518" s="183">
        <f t="shared" si="77"/>
        <v>1.8372083333333333</v>
      </c>
    </row>
    <row r="519" spans="1:13" s="71" customFormat="1" ht="12.75" customHeight="1" outlineLevel="1">
      <c r="A519" s="169"/>
      <c r="B519" s="169"/>
      <c r="C519" s="169"/>
      <c r="D519" s="192" t="s">
        <v>265</v>
      </c>
      <c r="E519" s="171">
        <v>47771</v>
      </c>
      <c r="F519" s="182">
        <v>7.3749999999999996E-2</v>
      </c>
      <c r="G519" s="182">
        <v>7.1499999999999994E-2</v>
      </c>
      <c r="H519" s="182">
        <v>7.5600000000000001E-2</v>
      </c>
      <c r="I519" s="179">
        <v>7.2195599999999999E-2</v>
      </c>
      <c r="J519" s="179">
        <v>7.2300000000000003E-2</v>
      </c>
      <c r="K519" s="173">
        <v>3742500</v>
      </c>
      <c r="L519" s="184">
        <v>1000000</v>
      </c>
      <c r="M519" s="190">
        <f t="shared" si="77"/>
        <v>3.7425000000000002</v>
      </c>
    </row>
    <row r="520" spans="1:13" s="71" customFormat="1" ht="12.75" customHeight="1" outlineLevel="1">
      <c r="A520" s="169"/>
      <c r="B520" s="169"/>
      <c r="C520" s="169"/>
      <c r="D520" s="192" t="s">
        <v>226</v>
      </c>
      <c r="E520" s="171">
        <v>48625</v>
      </c>
      <c r="F520" s="182">
        <v>7.0000000000000007E-2</v>
      </c>
      <c r="G520" s="182">
        <v>7.1499999999999994E-2</v>
      </c>
      <c r="H520" s="182">
        <v>7.6100000000000001E-2</v>
      </c>
      <c r="I520" s="179">
        <v>7.2299699999999995E-2</v>
      </c>
      <c r="J520" s="179">
        <v>7.2499999999999995E-2</v>
      </c>
      <c r="K520" s="173">
        <v>10254200</v>
      </c>
      <c r="L520" s="184">
        <v>4050000</v>
      </c>
      <c r="M520" s="190">
        <f t="shared" si="77"/>
        <v>2.5319012345679011</v>
      </c>
    </row>
    <row r="521" spans="1:13" s="71" customFormat="1" ht="12.75" customHeight="1" outlineLevel="1">
      <c r="A521" s="169"/>
      <c r="B521" s="169"/>
      <c r="C521" s="169"/>
      <c r="D521" s="192" t="s">
        <v>237</v>
      </c>
      <c r="E521" s="171">
        <v>50571</v>
      </c>
      <c r="F521" s="182">
        <v>7.1249999999999994E-2</v>
      </c>
      <c r="G521" s="182">
        <v>7.22E-2</v>
      </c>
      <c r="H521" s="182">
        <v>7.3499999999999996E-2</v>
      </c>
      <c r="I521" s="179">
        <v>7.2421299999999994E-2</v>
      </c>
      <c r="J521" s="179">
        <v>7.2900000000000006E-2</v>
      </c>
      <c r="K521" s="173">
        <v>993200</v>
      </c>
      <c r="L521" s="189">
        <v>250000</v>
      </c>
      <c r="M521" s="190">
        <f t="shared" si="77"/>
        <v>3.9727999999999999</v>
      </c>
    </row>
    <row r="522" spans="1:13" s="71" customFormat="1" ht="12.75" customHeight="1" outlineLevel="1">
      <c r="A522" s="169"/>
      <c r="B522" s="169"/>
      <c r="C522" s="169"/>
      <c r="D522" s="192" t="s">
        <v>227</v>
      </c>
      <c r="E522" s="171">
        <v>52397</v>
      </c>
      <c r="F522" s="182">
        <v>7.1249999999999994E-2</v>
      </c>
      <c r="G522" s="182">
        <v>7.1800000000000003E-2</v>
      </c>
      <c r="H522" s="182">
        <v>7.5999999999999998E-2</v>
      </c>
      <c r="I522" s="179">
        <v>7.1853100000000003E-2</v>
      </c>
      <c r="J522" s="179">
        <v>7.2700000000000001E-2</v>
      </c>
      <c r="K522" s="173">
        <v>3101700</v>
      </c>
      <c r="L522" s="189">
        <v>2800000</v>
      </c>
      <c r="M522" s="190">
        <f t="shared" si="77"/>
        <v>1.10775</v>
      </c>
    </row>
    <row r="523" spans="1:13" s="71" customFormat="1" ht="12.75" customHeight="1" outlineLevel="1">
      <c r="A523" s="169"/>
      <c r="B523" s="169"/>
      <c r="C523" s="169"/>
      <c r="D523" s="192" t="s">
        <v>137</v>
      </c>
      <c r="E523" s="171">
        <v>55380</v>
      </c>
      <c r="F523" s="182">
        <v>6.8750000000000006E-2</v>
      </c>
      <c r="G523" s="182">
        <v>7.3300000000000004E-2</v>
      </c>
      <c r="H523" s="182">
        <v>7.6300000000000007E-2</v>
      </c>
      <c r="I523" s="179">
        <v>7.3949399999999998E-2</v>
      </c>
      <c r="J523" s="179">
        <v>7.4399999999999994E-2</v>
      </c>
      <c r="K523" s="173">
        <v>537900</v>
      </c>
      <c r="L523" s="189">
        <v>400000</v>
      </c>
      <c r="M523" s="190">
        <f t="shared" si="77"/>
        <v>1.3447499999999999</v>
      </c>
    </row>
    <row r="524" spans="1:13" s="196" customFormat="1" ht="12.75" customHeight="1" outlineLevel="1">
      <c r="A524" s="291" t="s">
        <v>121</v>
      </c>
      <c r="B524" s="292"/>
      <c r="C524" s="292"/>
      <c r="D524" s="292"/>
      <c r="E524" s="292"/>
      <c r="F524" s="292"/>
      <c r="G524" s="292"/>
      <c r="H524" s="292"/>
      <c r="I524" s="292"/>
      <c r="J524" s="293"/>
      <c r="K524" s="194">
        <f>SUM(K516:K523)</f>
        <v>30318100</v>
      </c>
      <c r="L524" s="194">
        <f>SUM(L516:L523)</f>
        <v>15200000</v>
      </c>
      <c r="M524" s="195"/>
    </row>
    <row r="525" spans="1:13" s="71" customFormat="1" ht="12.75" customHeight="1" outlineLevel="1">
      <c r="A525" s="178">
        <v>44889</v>
      </c>
      <c r="B525" s="171">
        <v>44894</v>
      </c>
      <c r="C525" s="200" t="s">
        <v>166</v>
      </c>
      <c r="D525" s="201" t="s">
        <v>241</v>
      </c>
      <c r="E525" s="171">
        <v>51940</v>
      </c>
      <c r="F525" s="182">
        <v>6.7500000000000004E-2</v>
      </c>
      <c r="G525" s="182"/>
      <c r="H525" s="182"/>
      <c r="I525" s="179"/>
      <c r="J525" s="179"/>
      <c r="K525" s="202">
        <v>250264</v>
      </c>
      <c r="L525" s="202">
        <v>250264</v>
      </c>
      <c r="M525" s="183">
        <f>IF(L525=0,0,K525/L525)</f>
        <v>1</v>
      </c>
    </row>
    <row r="526" spans="1:13" s="196" customFormat="1" ht="12.75" customHeight="1" outlineLevel="1">
      <c r="A526" s="297" t="s">
        <v>121</v>
      </c>
      <c r="B526" s="298"/>
      <c r="C526" s="298"/>
      <c r="D526" s="298"/>
      <c r="E526" s="298"/>
      <c r="F526" s="298"/>
      <c r="G526" s="298"/>
      <c r="H526" s="298"/>
      <c r="I526" s="298"/>
      <c r="J526" s="299"/>
      <c r="K526" s="199">
        <f>SUM(K525)</f>
        <v>250264</v>
      </c>
      <c r="L526" s="199">
        <f>SUM(L525)</f>
        <v>250264</v>
      </c>
      <c r="M526" s="195"/>
    </row>
    <row r="527" spans="1:13" s="180" customFormat="1">
      <c r="A527" s="294" t="s">
        <v>267</v>
      </c>
      <c r="B527" s="295"/>
      <c r="C527" s="295"/>
      <c r="D527" s="295"/>
      <c r="E527" s="295"/>
      <c r="F527" s="295"/>
      <c r="G527" s="295"/>
      <c r="H527" s="295"/>
      <c r="I527" s="295"/>
      <c r="J527" s="296"/>
      <c r="K527" s="193">
        <f>SUM(K491,K497,K508,K500,K515,K524,K526)</f>
        <v>73042564</v>
      </c>
      <c r="L527" s="193">
        <f>SUM(L491,L497,L508,L500,L515,L524,L526)</f>
        <v>36425264</v>
      </c>
      <c r="M527" s="181"/>
    </row>
    <row r="528" spans="1:13" s="180" customFormat="1" ht="12.75" customHeight="1">
      <c r="A528" s="294" t="s">
        <v>271</v>
      </c>
      <c r="B528" s="295"/>
      <c r="C528" s="295"/>
      <c r="D528" s="295"/>
      <c r="E528" s="295"/>
      <c r="F528" s="295"/>
      <c r="G528" s="295"/>
      <c r="H528" s="295"/>
      <c r="I528" s="295"/>
      <c r="J528" s="296"/>
      <c r="K528" s="193">
        <f>SUM(K484,K527)</f>
        <v>1813930686.8</v>
      </c>
      <c r="L528" s="193">
        <f>SUM(L484,L527)</f>
        <v>898835171.79999995</v>
      </c>
      <c r="M528" s="181"/>
    </row>
    <row r="529" spans="1:13" s="71" customFormat="1" ht="12" customHeight="1" outlineLevel="1">
      <c r="A529" s="178">
        <v>44894</v>
      </c>
      <c r="B529" s="178">
        <v>44896</v>
      </c>
      <c r="C529" s="174" t="s">
        <v>136</v>
      </c>
      <c r="D529" s="192" t="s">
        <v>273</v>
      </c>
      <c r="E529" s="171">
        <v>45076</v>
      </c>
      <c r="F529" s="182" t="s">
        <v>128</v>
      </c>
      <c r="G529" s="218">
        <v>4.8000000000000001E-2</v>
      </c>
      <c r="H529" s="182">
        <v>5.3999999999999999E-2</v>
      </c>
      <c r="I529" s="274">
        <v>4.8488900000000001E-2</v>
      </c>
      <c r="J529" s="275">
        <v>4.8800000000000003E-2</v>
      </c>
      <c r="K529" s="242">
        <v>490000</v>
      </c>
      <c r="L529" s="242">
        <v>90000</v>
      </c>
      <c r="M529" s="190">
        <f t="shared" ref="M529:M534" si="78">IF(L529=0,0,K529/L529)</f>
        <v>5.4444444444444446</v>
      </c>
    </row>
    <row r="530" spans="1:13" s="71" customFormat="1" ht="12.75" customHeight="1" outlineLevel="1">
      <c r="A530" s="178"/>
      <c r="B530" s="171"/>
      <c r="C530" s="174"/>
      <c r="D530" s="192" t="s">
        <v>228</v>
      </c>
      <c r="E530" s="171">
        <v>45884</v>
      </c>
      <c r="F530" s="182">
        <v>5.3749999999999999E-2</v>
      </c>
      <c r="G530" s="218">
        <v>6.3E-2</v>
      </c>
      <c r="H530" s="182">
        <v>6.7699999999999996E-2</v>
      </c>
      <c r="I530" s="179">
        <v>6.3503500000000004E-2</v>
      </c>
      <c r="J530" s="233">
        <v>6.4500000000000002E-2</v>
      </c>
      <c r="K530" s="198">
        <v>2252000</v>
      </c>
      <c r="L530" s="219">
        <v>1600000</v>
      </c>
      <c r="M530" s="190">
        <f t="shared" si="78"/>
        <v>1.4075</v>
      </c>
    </row>
    <row r="531" spans="1:13" s="71" customFormat="1" ht="12.75" customHeight="1" outlineLevel="1">
      <c r="A531" s="169"/>
      <c r="B531" s="169"/>
      <c r="C531" s="169"/>
      <c r="D531" s="192" t="s">
        <v>50</v>
      </c>
      <c r="E531" s="171">
        <v>46402</v>
      </c>
      <c r="F531" s="182">
        <v>0.06</v>
      </c>
      <c r="G531" s="218">
        <v>6.6000000000000003E-2</v>
      </c>
      <c r="H531" s="182">
        <v>7.0199999999999999E-2</v>
      </c>
      <c r="I531" s="179">
        <v>6.7287299999999994E-2</v>
      </c>
      <c r="J531" s="233">
        <v>6.8000000000000005E-2</v>
      </c>
      <c r="K531" s="198">
        <v>2558000</v>
      </c>
      <c r="L531" s="219">
        <v>2400000</v>
      </c>
      <c r="M531" s="190">
        <f t="shared" si="78"/>
        <v>1.0658333333333334</v>
      </c>
    </row>
    <row r="532" spans="1:13" s="71" customFormat="1" ht="12.75" customHeight="1" outlineLevel="1">
      <c r="A532" s="169"/>
      <c r="B532" s="169"/>
      <c r="C532" s="169"/>
      <c r="D532" s="71" t="s">
        <v>156</v>
      </c>
      <c r="E532" s="171">
        <v>46949</v>
      </c>
      <c r="F532" s="182">
        <v>5.8749999999999997E-2</v>
      </c>
      <c r="G532" s="218">
        <v>6.6500000000000004E-2</v>
      </c>
      <c r="H532" s="182">
        <v>6.9500000000000006E-2</v>
      </c>
      <c r="I532" s="241" t="s">
        <v>130</v>
      </c>
      <c r="J532" s="234" t="s">
        <v>130</v>
      </c>
      <c r="K532" s="198">
        <v>1108000</v>
      </c>
      <c r="L532" s="219" t="s">
        <v>130</v>
      </c>
      <c r="M532" s="220" t="s">
        <v>130</v>
      </c>
    </row>
    <row r="533" spans="1:13" s="71" customFormat="1" ht="12.75" customHeight="1" outlineLevel="1">
      <c r="A533" s="169"/>
      <c r="B533" s="169"/>
      <c r="C533" s="169"/>
      <c r="D533" s="192" t="s">
        <v>147</v>
      </c>
      <c r="E533" s="171">
        <v>49018</v>
      </c>
      <c r="F533" s="182">
        <v>6.3750000000000001E-2</v>
      </c>
      <c r="G533" s="182">
        <v>7.1999999999999995E-2</v>
      </c>
      <c r="H533" s="182">
        <v>7.6999999999999999E-2</v>
      </c>
      <c r="I533" s="234">
        <v>7.3302900000000004E-2</v>
      </c>
      <c r="J533" s="241">
        <v>7.3999999999999996E-2</v>
      </c>
      <c r="K533" s="198">
        <v>2840500</v>
      </c>
      <c r="L533" s="219">
        <v>2650000</v>
      </c>
      <c r="M533" s="190">
        <f t="shared" si="78"/>
        <v>1.0718867924528301</v>
      </c>
    </row>
    <row r="534" spans="1:13" s="71" customFormat="1" ht="12.75" customHeight="1" outlineLevel="1">
      <c r="A534" s="169"/>
      <c r="B534" s="169"/>
      <c r="C534" s="169"/>
      <c r="D534" s="192" t="s">
        <v>150</v>
      </c>
      <c r="E534" s="171">
        <v>53858</v>
      </c>
      <c r="F534" s="182">
        <v>6.7500000000000004E-2</v>
      </c>
      <c r="G534" s="182">
        <v>7.4999999999999997E-2</v>
      </c>
      <c r="H534" s="182">
        <v>7.6899999999999996E-2</v>
      </c>
      <c r="I534" s="233">
        <v>7.5362899999999997E-2</v>
      </c>
      <c r="J534" s="238">
        <v>7.5700000000000003E-2</v>
      </c>
      <c r="K534" s="198">
        <v>629000</v>
      </c>
      <c r="L534" s="198">
        <v>250000</v>
      </c>
      <c r="M534" s="190">
        <f t="shared" si="78"/>
        <v>2.516</v>
      </c>
    </row>
    <row r="535" spans="1:13" s="196" customFormat="1" ht="12.75" customHeight="1" outlineLevel="1">
      <c r="A535" s="297" t="s">
        <v>121</v>
      </c>
      <c r="B535" s="298"/>
      <c r="C535" s="298"/>
      <c r="D535" s="298"/>
      <c r="E535" s="298"/>
      <c r="F535" s="298"/>
      <c r="G535" s="298"/>
      <c r="H535" s="298"/>
      <c r="I535" s="298"/>
      <c r="J535" s="299"/>
      <c r="K535" s="199">
        <f>SUM(K529:K534)</f>
        <v>9877500</v>
      </c>
      <c r="L535" s="199">
        <f>SUM(L529:L534)</f>
        <v>6990000</v>
      </c>
      <c r="M535" s="195"/>
    </row>
    <row r="536" spans="1:13" s="71" customFormat="1" ht="12.75" customHeight="1" outlineLevel="1">
      <c r="A536" s="178">
        <v>44900</v>
      </c>
      <c r="B536" s="171">
        <v>44902</v>
      </c>
      <c r="C536" s="200" t="s">
        <v>160</v>
      </c>
      <c r="D536" s="201" t="s">
        <v>300</v>
      </c>
      <c r="E536" s="278">
        <v>45606</v>
      </c>
      <c r="F536" s="182">
        <v>6.1499999999999999E-2</v>
      </c>
      <c r="G536" s="182"/>
      <c r="H536" s="182"/>
      <c r="I536" s="179"/>
      <c r="J536" s="179"/>
      <c r="K536" s="202">
        <v>10000000</v>
      </c>
      <c r="L536" s="202">
        <v>10000000</v>
      </c>
      <c r="M536" s="183">
        <f>IF(L536=0,0,K536/L536)</f>
        <v>1</v>
      </c>
    </row>
    <row r="537" spans="1:13" s="71" customFormat="1" ht="12.75" customHeight="1" outlineLevel="1">
      <c r="A537" s="291" t="s">
        <v>121</v>
      </c>
      <c r="B537" s="292"/>
      <c r="C537" s="292"/>
      <c r="D537" s="292"/>
      <c r="E537" s="292"/>
      <c r="F537" s="292"/>
      <c r="G537" s="292"/>
      <c r="H537" s="292"/>
      <c r="I537" s="292"/>
      <c r="J537" s="293"/>
      <c r="K537" s="194">
        <f>K536</f>
        <v>10000000</v>
      </c>
      <c r="L537" s="194">
        <f>L536</f>
        <v>10000000</v>
      </c>
      <c r="M537" s="203"/>
    </row>
    <row r="538" spans="1:13" s="71" customFormat="1" ht="12.75" customHeight="1" outlineLevel="1">
      <c r="A538" s="178">
        <v>44901</v>
      </c>
      <c r="B538" s="178">
        <v>44903</v>
      </c>
      <c r="C538" s="174" t="s">
        <v>136</v>
      </c>
      <c r="D538" s="192" t="s">
        <v>275</v>
      </c>
      <c r="E538" s="171">
        <v>44993</v>
      </c>
      <c r="F538" s="182" t="s">
        <v>128</v>
      </c>
      <c r="G538" s="182">
        <v>4.4999999999999998E-2</v>
      </c>
      <c r="H538" s="182">
        <v>0.05</v>
      </c>
      <c r="I538" s="179">
        <v>4.5918899999999999E-2</v>
      </c>
      <c r="J538" s="179">
        <v>4.6199999999999998E-2</v>
      </c>
      <c r="K538" s="173">
        <v>1870000</v>
      </c>
      <c r="L538" s="184">
        <v>1000000</v>
      </c>
      <c r="M538" s="188">
        <f>IF(L538=0,0,K538/L538)</f>
        <v>1.87</v>
      </c>
    </row>
    <row r="539" spans="1:13" s="71" customFormat="1" ht="12.75" customHeight="1" outlineLevel="1">
      <c r="A539" s="178"/>
      <c r="B539" s="171"/>
      <c r="C539" s="174"/>
      <c r="D539" s="192" t="s">
        <v>276</v>
      </c>
      <c r="E539" s="171">
        <v>45267</v>
      </c>
      <c r="F539" s="182" t="s">
        <v>128</v>
      </c>
      <c r="G539" s="182">
        <v>0.05</v>
      </c>
      <c r="H539" s="182">
        <v>5.5E-2</v>
      </c>
      <c r="I539" s="182">
        <v>5.1974899999999997E-2</v>
      </c>
      <c r="J539" s="179">
        <v>5.33E-2</v>
      </c>
      <c r="K539" s="173">
        <v>720000</v>
      </c>
      <c r="L539" s="184">
        <v>550000</v>
      </c>
      <c r="M539" s="183">
        <f t="shared" ref="M539:M544" si="79">IF(L539=0,0,K539/L539)</f>
        <v>1.3090909090909091</v>
      </c>
    </row>
    <row r="540" spans="1:13" s="71" customFormat="1" ht="12.75" customHeight="1" outlineLevel="1">
      <c r="A540" s="169"/>
      <c r="B540" s="169"/>
      <c r="C540" s="169"/>
      <c r="D540" s="192" t="s">
        <v>225</v>
      </c>
      <c r="E540" s="171">
        <v>46980</v>
      </c>
      <c r="F540" s="182">
        <v>6.3750000000000001E-2</v>
      </c>
      <c r="G540" s="182">
        <v>6.4500000000000002E-2</v>
      </c>
      <c r="H540" s="182">
        <v>6.7500000000000004E-2</v>
      </c>
      <c r="I540" s="179">
        <v>6.5176100000000001E-2</v>
      </c>
      <c r="J540" s="179">
        <v>6.5600000000000006E-2</v>
      </c>
      <c r="K540" s="173">
        <v>7227900</v>
      </c>
      <c r="L540" s="184">
        <v>450000</v>
      </c>
      <c r="M540" s="183">
        <f t="shared" si="79"/>
        <v>16.062000000000001</v>
      </c>
    </row>
    <row r="541" spans="1:13" s="71" customFormat="1" ht="12.75" customHeight="1" outlineLevel="1">
      <c r="A541" s="169"/>
      <c r="B541" s="169"/>
      <c r="C541" s="169"/>
      <c r="D541" s="192" t="s">
        <v>226</v>
      </c>
      <c r="E541" s="171">
        <v>48625</v>
      </c>
      <c r="F541" s="182">
        <v>7.0000000000000007E-2</v>
      </c>
      <c r="G541" s="182">
        <v>6.8699999999999997E-2</v>
      </c>
      <c r="H541" s="182">
        <v>7.2499999999999995E-2</v>
      </c>
      <c r="I541" s="179">
        <v>6.9738900000000006E-2</v>
      </c>
      <c r="J541" s="179">
        <v>7.0000000000000007E-2</v>
      </c>
      <c r="K541" s="173">
        <v>9069800</v>
      </c>
      <c r="L541" s="184">
        <v>6050000</v>
      </c>
      <c r="M541" s="190">
        <f t="shared" si="79"/>
        <v>1.4991404958677685</v>
      </c>
    </row>
    <row r="542" spans="1:13" s="71" customFormat="1" ht="12.75" customHeight="1" outlineLevel="1">
      <c r="A542" s="169"/>
      <c r="B542" s="169"/>
      <c r="C542" s="169"/>
      <c r="D542" s="192" t="s">
        <v>237</v>
      </c>
      <c r="E542" s="171">
        <v>50571</v>
      </c>
      <c r="F542" s="182">
        <v>7.1249999999999994E-2</v>
      </c>
      <c r="G542" s="182">
        <v>7.0800000000000002E-2</v>
      </c>
      <c r="H542" s="182">
        <v>7.3300000000000004E-2</v>
      </c>
      <c r="I542" s="179">
        <v>7.1498800000000001E-2</v>
      </c>
      <c r="J542" s="179">
        <v>7.2300000000000003E-2</v>
      </c>
      <c r="K542" s="173">
        <v>2896500</v>
      </c>
      <c r="L542" s="189">
        <v>2500000</v>
      </c>
      <c r="M542" s="190">
        <f t="shared" si="79"/>
        <v>1.1586000000000001</v>
      </c>
    </row>
    <row r="543" spans="1:13" s="71" customFormat="1" ht="12.75" customHeight="1" outlineLevel="1">
      <c r="A543" s="169"/>
      <c r="B543" s="169"/>
      <c r="C543" s="169"/>
      <c r="D543" s="192" t="s">
        <v>227</v>
      </c>
      <c r="E543" s="171">
        <v>52397</v>
      </c>
      <c r="F543" s="182">
        <v>7.1249999999999994E-2</v>
      </c>
      <c r="G543" s="182">
        <v>7.1400000000000005E-2</v>
      </c>
      <c r="H543" s="182">
        <v>7.3400000000000007E-2</v>
      </c>
      <c r="I543" s="179">
        <v>7.1825700000000006E-2</v>
      </c>
      <c r="J543" s="179">
        <v>7.2099999999999997E-2</v>
      </c>
      <c r="K543" s="173">
        <v>3977400</v>
      </c>
      <c r="L543" s="189">
        <v>3550000</v>
      </c>
      <c r="M543" s="190">
        <f t="shared" si="79"/>
        <v>1.1203943661971831</v>
      </c>
    </row>
    <row r="544" spans="1:13" s="71" customFormat="1" ht="12.75" customHeight="1" outlineLevel="1">
      <c r="A544" s="169"/>
      <c r="B544" s="169"/>
      <c r="C544" s="169"/>
      <c r="D544" s="192" t="s">
        <v>137</v>
      </c>
      <c r="E544" s="171">
        <v>55380</v>
      </c>
      <c r="F544" s="182">
        <v>6.8750000000000006E-2</v>
      </c>
      <c r="G544" s="182">
        <v>7.22E-2</v>
      </c>
      <c r="H544" s="182">
        <v>8.3500000000000005E-2</v>
      </c>
      <c r="I544" s="179">
        <v>7.2697200000000003E-2</v>
      </c>
      <c r="J544" s="179">
        <v>7.2900000000000006E-2</v>
      </c>
      <c r="K544" s="173">
        <v>1903100</v>
      </c>
      <c r="L544" s="189">
        <v>1400000</v>
      </c>
      <c r="M544" s="190">
        <f t="shared" si="79"/>
        <v>1.3593571428571429</v>
      </c>
    </row>
    <row r="545" spans="1:13" s="196" customFormat="1" ht="12.75" customHeight="1" outlineLevel="1">
      <c r="A545" s="291" t="s">
        <v>121</v>
      </c>
      <c r="B545" s="292"/>
      <c r="C545" s="292"/>
      <c r="D545" s="292"/>
      <c r="E545" s="292"/>
      <c r="F545" s="292"/>
      <c r="G545" s="292"/>
      <c r="H545" s="292"/>
      <c r="I545" s="292"/>
      <c r="J545" s="293"/>
      <c r="K545" s="194">
        <f>SUM(K538:K544)</f>
        <v>27664700</v>
      </c>
      <c r="L545" s="194">
        <f>SUM(L538:L544)</f>
        <v>15500000</v>
      </c>
      <c r="M545" s="195"/>
    </row>
    <row r="546" spans="1:13" s="213" customFormat="1" ht="17.25" customHeight="1" outlineLevel="1">
      <c r="A546" s="204">
        <v>44922</v>
      </c>
      <c r="B546" s="204">
        <v>44924</v>
      </c>
      <c r="C546" s="205" t="s">
        <v>166</v>
      </c>
      <c r="D546" s="206" t="s">
        <v>291</v>
      </c>
      <c r="E546" s="207">
        <v>46750</v>
      </c>
      <c r="F546" s="287" t="s">
        <v>299</v>
      </c>
      <c r="G546" s="209" t="s">
        <v>130</v>
      </c>
      <c r="H546" s="209" t="s">
        <v>130</v>
      </c>
      <c r="I546" s="243">
        <v>1</v>
      </c>
      <c r="J546" s="209" t="s">
        <v>130</v>
      </c>
      <c r="K546" s="211">
        <v>2334205</v>
      </c>
      <c r="L546" s="211">
        <f t="shared" ref="L546:L553" si="80">K546</f>
        <v>2334205</v>
      </c>
      <c r="M546" s="212">
        <f t="shared" ref="M546:M549" si="81">IF(L546=0,0,K546/L546)</f>
        <v>1</v>
      </c>
    </row>
    <row r="547" spans="1:13" s="213" customFormat="1" ht="16.5" customHeight="1" outlineLevel="1">
      <c r="A547" s="244"/>
      <c r="B547" s="244"/>
      <c r="C547" s="245"/>
      <c r="D547" s="206" t="s">
        <v>292</v>
      </c>
      <c r="E547" s="207">
        <v>47116</v>
      </c>
      <c r="F547" s="287"/>
      <c r="G547" s="209" t="s">
        <v>130</v>
      </c>
      <c r="H547" s="209" t="s">
        <v>130</v>
      </c>
      <c r="I547" s="243">
        <v>1</v>
      </c>
      <c r="J547" s="209" t="s">
        <v>130</v>
      </c>
      <c r="K547" s="211">
        <v>2334195</v>
      </c>
      <c r="L547" s="211">
        <f t="shared" si="80"/>
        <v>2334195</v>
      </c>
      <c r="M547" s="212">
        <f t="shared" si="81"/>
        <v>1</v>
      </c>
    </row>
    <row r="548" spans="1:13" s="249" customFormat="1" ht="17.25" customHeight="1" outlineLevel="1">
      <c r="A548" s="246"/>
      <c r="B548" s="246"/>
      <c r="C548" s="247"/>
      <c r="D548" s="206" t="s">
        <v>293</v>
      </c>
      <c r="E548" s="207">
        <v>47481</v>
      </c>
      <c r="F548" s="287"/>
      <c r="G548" s="209" t="s">
        <v>130</v>
      </c>
      <c r="H548" s="209" t="s">
        <v>130</v>
      </c>
      <c r="I548" s="243">
        <v>1</v>
      </c>
      <c r="J548" s="209" t="s">
        <v>130</v>
      </c>
      <c r="K548" s="211">
        <v>2334195</v>
      </c>
      <c r="L548" s="211">
        <f t="shared" si="80"/>
        <v>2334195</v>
      </c>
      <c r="M548" s="248">
        <f t="shared" si="81"/>
        <v>1</v>
      </c>
    </row>
    <row r="549" spans="1:13" s="213" customFormat="1" ht="16.5" customHeight="1" outlineLevel="1">
      <c r="A549" s="244"/>
      <c r="B549" s="244"/>
      <c r="C549" s="245"/>
      <c r="D549" s="206" t="s">
        <v>294</v>
      </c>
      <c r="E549" s="207">
        <v>47846</v>
      </c>
      <c r="F549" s="287"/>
      <c r="G549" s="209" t="s">
        <v>130</v>
      </c>
      <c r="H549" s="209" t="s">
        <v>130</v>
      </c>
      <c r="I549" s="243">
        <v>1</v>
      </c>
      <c r="J549" s="209" t="s">
        <v>130</v>
      </c>
      <c r="K549" s="211">
        <v>2334195</v>
      </c>
      <c r="L549" s="211">
        <f t="shared" si="80"/>
        <v>2334195</v>
      </c>
      <c r="M549" s="212">
        <f t="shared" si="81"/>
        <v>1</v>
      </c>
    </row>
    <row r="550" spans="1:13" s="249" customFormat="1" ht="17.25" customHeight="1" outlineLevel="1">
      <c r="A550" s="246"/>
      <c r="B550" s="246"/>
      <c r="C550" s="247"/>
      <c r="D550" s="206" t="s">
        <v>295</v>
      </c>
      <c r="E550" s="207">
        <v>46750</v>
      </c>
      <c r="F550" s="287"/>
      <c r="G550" s="209" t="s">
        <v>130</v>
      </c>
      <c r="H550" s="209" t="s">
        <v>130</v>
      </c>
      <c r="I550" s="243">
        <v>1</v>
      </c>
      <c r="J550" s="209" t="s">
        <v>130</v>
      </c>
      <c r="K550" s="211">
        <v>29810245</v>
      </c>
      <c r="L550" s="211">
        <f t="shared" si="80"/>
        <v>29810245</v>
      </c>
      <c r="M550" s="248">
        <f>IF(L550=0,0,K550/L550)</f>
        <v>1</v>
      </c>
    </row>
    <row r="551" spans="1:13" s="213" customFormat="1" ht="16.5" customHeight="1" outlineLevel="1">
      <c r="A551" s="244"/>
      <c r="B551" s="244"/>
      <c r="C551" s="245"/>
      <c r="D551" s="206" t="s">
        <v>296</v>
      </c>
      <c r="E551" s="207">
        <v>47116</v>
      </c>
      <c r="F551" s="287"/>
      <c r="G551" s="209" t="s">
        <v>130</v>
      </c>
      <c r="H551" s="209" t="s">
        <v>130</v>
      </c>
      <c r="I551" s="243">
        <v>1</v>
      </c>
      <c r="J551" s="209" t="s">
        <v>130</v>
      </c>
      <c r="K551" s="211">
        <v>29810235</v>
      </c>
      <c r="L551" s="211">
        <f t="shared" si="80"/>
        <v>29810235</v>
      </c>
      <c r="M551" s="212">
        <f t="shared" ref="M551:M553" si="82">IF(L551=0,0,K551/L551)</f>
        <v>1</v>
      </c>
    </row>
    <row r="552" spans="1:13" s="249" customFormat="1" ht="17.25" customHeight="1" outlineLevel="1">
      <c r="A552" s="246"/>
      <c r="B552" s="246"/>
      <c r="C552" s="247"/>
      <c r="D552" s="206" t="s">
        <v>297</v>
      </c>
      <c r="E552" s="207">
        <v>47481</v>
      </c>
      <c r="F552" s="287"/>
      <c r="G552" s="209" t="s">
        <v>130</v>
      </c>
      <c r="H552" s="209" t="s">
        <v>130</v>
      </c>
      <c r="I552" s="243">
        <v>1</v>
      </c>
      <c r="J552" s="209" t="s">
        <v>130</v>
      </c>
      <c r="K552" s="211">
        <v>29810235</v>
      </c>
      <c r="L552" s="211">
        <f t="shared" si="80"/>
        <v>29810235</v>
      </c>
      <c r="M552" s="248">
        <f t="shared" si="82"/>
        <v>1</v>
      </c>
    </row>
    <row r="553" spans="1:13" s="249" customFormat="1" ht="15" customHeight="1" outlineLevel="1">
      <c r="A553" s="246"/>
      <c r="B553" s="246"/>
      <c r="C553" s="247"/>
      <c r="D553" s="206" t="s">
        <v>298</v>
      </c>
      <c r="E553" s="207">
        <v>47846</v>
      </c>
      <c r="F553" s="287"/>
      <c r="G553" s="209" t="s">
        <v>130</v>
      </c>
      <c r="H553" s="209" t="s">
        <v>130</v>
      </c>
      <c r="I553" s="243">
        <v>1</v>
      </c>
      <c r="J553" s="209" t="s">
        <v>130</v>
      </c>
      <c r="K553" s="211">
        <v>29810235</v>
      </c>
      <c r="L553" s="211">
        <f t="shared" si="80"/>
        <v>29810235</v>
      </c>
      <c r="M553" s="248">
        <f t="shared" si="82"/>
        <v>1</v>
      </c>
    </row>
    <row r="554" spans="1:13" s="215" customFormat="1" ht="12.75" customHeight="1" outlineLevel="1">
      <c r="A554" s="288" t="s">
        <v>121</v>
      </c>
      <c r="B554" s="289"/>
      <c r="C554" s="289"/>
      <c r="D554" s="289"/>
      <c r="E554" s="289"/>
      <c r="F554" s="289"/>
      <c r="G554" s="289"/>
      <c r="H554" s="289"/>
      <c r="I554" s="289"/>
      <c r="J554" s="290"/>
      <c r="K554" s="214">
        <f>SUM(K546:K553)</f>
        <v>128577740</v>
      </c>
      <c r="L554" s="214">
        <f>SUM(L546:L553)</f>
        <v>128577740</v>
      </c>
      <c r="M554" s="214"/>
    </row>
    <row r="555" spans="1:13" s="180" customFormat="1">
      <c r="A555" s="294" t="s">
        <v>274</v>
      </c>
      <c r="B555" s="295"/>
      <c r="C555" s="295"/>
      <c r="D555" s="295"/>
      <c r="E555" s="295"/>
      <c r="F555" s="295"/>
      <c r="G555" s="295"/>
      <c r="H555" s="295"/>
      <c r="I555" s="295"/>
      <c r="J555" s="296"/>
      <c r="K555" s="199">
        <f>SUM(K535,K545,K537,K554)</f>
        <v>176119940</v>
      </c>
      <c r="L555" s="199">
        <f>SUM(L535,L545,L537,L554)</f>
        <v>161067740</v>
      </c>
      <c r="M555" s="181"/>
    </row>
    <row r="556" spans="1:13" s="180" customFormat="1" ht="12.75" customHeight="1">
      <c r="A556" s="294" t="s">
        <v>290</v>
      </c>
      <c r="B556" s="295"/>
      <c r="C556" s="295"/>
      <c r="D556" s="295"/>
      <c r="E556" s="295"/>
      <c r="F556" s="295"/>
      <c r="G556" s="295"/>
      <c r="H556" s="295"/>
      <c r="I556" s="295"/>
      <c r="J556" s="296"/>
      <c r="K556" s="193">
        <f>SUM(K528,K555)</f>
        <v>1990050626.8</v>
      </c>
      <c r="L556" s="193">
        <f>SUM(L528,L555)</f>
        <v>1059902911.8</v>
      </c>
      <c r="M556" s="181"/>
    </row>
  </sheetData>
  <mergeCells count="119">
    <mergeCell ref="A537:J537"/>
    <mergeCell ref="A535:J535"/>
    <mergeCell ref="A555:J555"/>
    <mergeCell ref="A556:J556"/>
    <mergeCell ref="A526:J526"/>
    <mergeCell ref="A500:J500"/>
    <mergeCell ref="A304:J304"/>
    <mergeCell ref="A321:J321"/>
    <mergeCell ref="A314:J314"/>
    <mergeCell ref="A282:J282"/>
    <mergeCell ref="A306:J306"/>
    <mergeCell ref="A515:J515"/>
    <mergeCell ref="A362:J362"/>
    <mergeCell ref="A351:J351"/>
    <mergeCell ref="A336:J336"/>
    <mergeCell ref="A372:J372"/>
    <mergeCell ref="A373:J373"/>
    <mergeCell ref="A343:J343"/>
    <mergeCell ref="A297:J297"/>
    <mergeCell ref="A327:J327"/>
    <mergeCell ref="A328:J328"/>
    <mergeCell ref="A326:J326"/>
    <mergeCell ref="A471:J471"/>
    <mergeCell ref="A473:J473"/>
    <mergeCell ref="A491:J491"/>
    <mergeCell ref="A182:J182"/>
    <mergeCell ref="A174:J174"/>
    <mergeCell ref="A497:J497"/>
    <mergeCell ref="A484:J484"/>
    <mergeCell ref="A180:J180"/>
    <mergeCell ref="A206:J206"/>
    <mergeCell ref="A222:J222"/>
    <mergeCell ref="A235:J235"/>
    <mergeCell ref="A230:J230"/>
    <mergeCell ref="A223:J223"/>
    <mergeCell ref="A221:J221"/>
    <mergeCell ref="A213:J213"/>
    <mergeCell ref="A284:J284"/>
    <mergeCell ref="A252:J252"/>
    <mergeCell ref="A283:J283"/>
    <mergeCell ref="A280:J280"/>
    <mergeCell ref="A259:J259"/>
    <mergeCell ref="A261:J261"/>
    <mergeCell ref="A269:J269"/>
    <mergeCell ref="F285:F288"/>
    <mergeCell ref="A289:J289"/>
    <mergeCell ref="A403:J403"/>
    <mergeCell ref="A120:J120"/>
    <mergeCell ref="A122:J122"/>
    <mergeCell ref="A508:J508"/>
    <mergeCell ref="A127:J127"/>
    <mergeCell ref="A141:J141"/>
    <mergeCell ref="L2:M2"/>
    <mergeCell ref="A34:J34"/>
    <mergeCell ref="A35:J35"/>
    <mergeCell ref="A11:J11"/>
    <mergeCell ref="A18:J18"/>
    <mergeCell ref="A26:J26"/>
    <mergeCell ref="A33:J33"/>
    <mergeCell ref="A43:J43"/>
    <mergeCell ref="A68:J68"/>
    <mergeCell ref="A150:J150"/>
    <mergeCell ref="A183:J183"/>
    <mergeCell ref="A184:J184"/>
    <mergeCell ref="A199:J199"/>
    <mergeCell ref="A211:J211"/>
    <mergeCell ref="A158:J158"/>
    <mergeCell ref="A163:J163"/>
    <mergeCell ref="A243:J243"/>
    <mergeCell ref="A192:J192"/>
    <mergeCell ref="A197:J197"/>
    <mergeCell ref="A429:J429"/>
    <mergeCell ref="A465:J465"/>
    <mergeCell ref="A524:J524"/>
    <mergeCell ref="A527:J527"/>
    <mergeCell ref="A483:J483"/>
    <mergeCell ref="A430:J430"/>
    <mergeCell ref="A482:J482"/>
    <mergeCell ref="A69:J69"/>
    <mergeCell ref="A50:J50"/>
    <mergeCell ref="A58:J58"/>
    <mergeCell ref="A60:J60"/>
    <mergeCell ref="A67:J67"/>
    <mergeCell ref="A77:J77"/>
    <mergeCell ref="A142:J142"/>
    <mergeCell ref="A143:J143"/>
    <mergeCell ref="A81:J81"/>
    <mergeCell ref="A86:J86"/>
    <mergeCell ref="A93:J93"/>
    <mergeCell ref="A95:J95"/>
    <mergeCell ref="A103:J103"/>
    <mergeCell ref="A135:J135"/>
    <mergeCell ref="A105:J105"/>
    <mergeCell ref="A112:J112"/>
    <mergeCell ref="A118:J118"/>
    <mergeCell ref="F546:F553"/>
    <mergeCell ref="A554:J554"/>
    <mergeCell ref="A545:J545"/>
    <mergeCell ref="A167:J167"/>
    <mergeCell ref="A273:J273"/>
    <mergeCell ref="A355:J355"/>
    <mergeCell ref="A458:J458"/>
    <mergeCell ref="A528:J528"/>
    <mergeCell ref="F363:F370"/>
    <mergeCell ref="A371:J371"/>
    <mergeCell ref="A388:J388"/>
    <mergeCell ref="A396:J396"/>
    <mergeCell ref="A412:J412"/>
    <mergeCell ref="A418:J418"/>
    <mergeCell ref="A420:J420"/>
    <mergeCell ref="A405:J405"/>
    <mergeCell ref="A428:J428"/>
    <mergeCell ref="F413:F414"/>
    <mergeCell ref="A415:J415"/>
    <mergeCell ref="A446:J446"/>
    <mergeCell ref="A437:J437"/>
    <mergeCell ref="A454:J454"/>
    <mergeCell ref="A443:J443"/>
    <mergeCell ref="A381:J381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3:P7"/>
  <sheetViews>
    <sheetView workbookViewId="0">
      <selection activeCell="K3" sqref="K3:L7"/>
    </sheetView>
  </sheetViews>
  <sheetFormatPr defaultColWidth="8.85546875" defaultRowHeight="12.75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>
      <c r="B3" s="185">
        <v>43053</v>
      </c>
      <c r="C3" s="185">
        <v>43055</v>
      </c>
      <c r="D3" t="s">
        <v>132</v>
      </c>
      <c r="E3" s="185">
        <v>43146</v>
      </c>
      <c r="F3" t="s">
        <v>130</v>
      </c>
      <c r="G3" s="186">
        <v>4.7500000000000001E-2</v>
      </c>
      <c r="H3" s="186">
        <v>4.87813E-2</v>
      </c>
      <c r="I3" s="186">
        <v>5.1999999999999998E-2</v>
      </c>
      <c r="J3" s="186">
        <v>4.7500000000000001E-2</v>
      </c>
      <c r="K3" s="186">
        <v>4.8269199999999998E-2</v>
      </c>
      <c r="L3" s="186">
        <v>4.8800000000000003E-2</v>
      </c>
      <c r="M3" s="187">
        <v>15000000000000</v>
      </c>
      <c r="N3" s="187">
        <v>3900000000000</v>
      </c>
      <c r="O3" s="187">
        <v>2600000000000</v>
      </c>
      <c r="P3" s="187">
        <v>2600000000000</v>
      </c>
    </row>
    <row r="4" spans="2:16">
      <c r="C4" s="185">
        <v>43055</v>
      </c>
      <c r="D4" t="s">
        <v>133</v>
      </c>
      <c r="E4" s="185">
        <v>43419</v>
      </c>
      <c r="F4" t="s">
        <v>130</v>
      </c>
      <c r="G4" s="186">
        <v>5.1900000000000002E-2</v>
      </c>
      <c r="H4" s="186">
        <v>5.3297200000000003E-2</v>
      </c>
      <c r="I4" s="186">
        <v>5.5500000000000001E-2</v>
      </c>
      <c r="J4" s="186">
        <v>5.1900000000000002E-2</v>
      </c>
      <c r="K4" s="186">
        <v>5.253E-2</v>
      </c>
      <c r="L4" s="186">
        <v>5.3199999999999997E-2</v>
      </c>
      <c r="N4" s="187">
        <v>6000000000000</v>
      </c>
      <c r="O4" s="187">
        <v>5200000000000</v>
      </c>
      <c r="P4" s="187">
        <v>3000000000000</v>
      </c>
    </row>
    <row r="5" spans="2:16">
      <c r="C5" s="185">
        <v>43055</v>
      </c>
      <c r="D5" t="s">
        <v>35</v>
      </c>
      <c r="E5" s="185">
        <v>44696</v>
      </c>
      <c r="F5" s="186">
        <v>7.0000000000000007E-2</v>
      </c>
      <c r="G5" s="186">
        <v>6.2700000000000006E-2</v>
      </c>
      <c r="H5" s="186">
        <v>6.3400300000000007E-2</v>
      </c>
      <c r="I5" s="186">
        <v>6.5000000000000002E-2</v>
      </c>
      <c r="J5" s="186">
        <v>6.2700000000000006E-2</v>
      </c>
      <c r="K5" s="186">
        <v>6.2915700000000005E-2</v>
      </c>
      <c r="L5" s="186">
        <v>6.3E-2</v>
      </c>
      <c r="N5" s="187">
        <v>9775500000000</v>
      </c>
      <c r="O5" s="187">
        <v>4250000000000</v>
      </c>
      <c r="P5" s="187">
        <v>2800000000000</v>
      </c>
    </row>
    <row r="6" spans="2:16">
      <c r="C6" s="185">
        <v>43055</v>
      </c>
      <c r="D6" t="s">
        <v>43</v>
      </c>
      <c r="E6" s="185">
        <v>46522</v>
      </c>
      <c r="F6" s="186">
        <v>7.0000000000000007E-2</v>
      </c>
      <c r="G6" s="186">
        <v>6.5699999999999995E-2</v>
      </c>
      <c r="H6" s="186">
        <v>6.6803500000000002E-2</v>
      </c>
      <c r="I6" s="186">
        <v>6.8599999999999994E-2</v>
      </c>
      <c r="J6" s="186">
        <v>6.5699999999999995E-2</v>
      </c>
      <c r="K6" s="186">
        <v>6.6193399999999999E-2</v>
      </c>
      <c r="L6" s="186">
        <v>6.6500000000000004E-2</v>
      </c>
      <c r="N6" s="187">
        <v>9487500000000</v>
      </c>
      <c r="O6" s="187">
        <v>7150000000000</v>
      </c>
      <c r="P6" s="187">
        <v>4550000000000</v>
      </c>
    </row>
    <row r="7" spans="2:16">
      <c r="C7" s="185">
        <v>43055</v>
      </c>
      <c r="D7" t="s">
        <v>131</v>
      </c>
      <c r="E7" s="185">
        <v>50540</v>
      </c>
      <c r="F7" s="186">
        <v>7.4999999999999997E-2</v>
      </c>
      <c r="G7" s="186">
        <v>7.2400000000000006E-2</v>
      </c>
      <c r="H7" s="186">
        <v>7.2925400000000001E-2</v>
      </c>
      <c r="I7" s="186">
        <v>7.4499999999999997E-2</v>
      </c>
      <c r="J7" s="186">
        <v>7.2400000000000006E-2</v>
      </c>
      <c r="K7" s="186">
        <v>7.2629799999999994E-2</v>
      </c>
      <c r="L7" s="186">
        <v>7.2999999999999995E-2</v>
      </c>
      <c r="N7" s="187">
        <v>9760500000000</v>
      </c>
      <c r="O7" s="187">
        <v>7300000000000</v>
      </c>
      <c r="P7" s="187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rahmah.fitri</cp:lastModifiedBy>
  <cp:lastPrinted>2020-03-18T18:47:42Z</cp:lastPrinted>
  <dcterms:created xsi:type="dcterms:W3CDTF">2010-01-14T01:56:27Z</dcterms:created>
  <dcterms:modified xsi:type="dcterms:W3CDTF">2023-01-10T05:50:45Z</dcterms:modified>
</cp:coreProperties>
</file>