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menkeu-my.sharepoint.com/personal/advianto_maringgih_kemenkeu_go_id/Documents/Back Up Download/2024/November/"/>
    </mc:Choice>
  </mc:AlternateContent>
  <xr:revisionPtr revIDLastSave="1" documentId="8_{9A15FEB2-F478-469F-BD77-CD8A0FED3A85}" xr6:coauthVersionLast="47" xr6:coauthVersionMax="47" xr10:uidLastSave="{E8243833-34D1-46D0-A509-C4171D53740A}"/>
  <bookViews>
    <workbookView xWindow="-120" yWindow="-120" windowWidth="20730" windowHeight="1104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0" i="1" l="1"/>
  <c r="K500" i="1"/>
  <c r="L499" i="1"/>
  <c r="K499" i="1"/>
  <c r="M498" i="1"/>
  <c r="M497" i="1"/>
  <c r="M496" i="1"/>
  <c r="M495" i="1"/>
  <c r="M494" i="1"/>
  <c r="M493" i="1"/>
  <c r="M492" i="1"/>
  <c r="M491" i="1"/>
  <c r="L483" i="1"/>
  <c r="K483" i="1"/>
  <c r="M482" i="1"/>
  <c r="M481" i="1"/>
  <c r="M480" i="1"/>
  <c r="M479" i="1"/>
  <c r="M478" i="1"/>
  <c r="M477" i="1"/>
  <c r="M476" i="1"/>
  <c r="K490" i="1"/>
  <c r="M489" i="1"/>
  <c r="M487" i="1"/>
  <c r="M473" i="1"/>
  <c r="M451" i="1"/>
  <c r="L475" i="1"/>
  <c r="K475" i="1"/>
  <c r="M474" i="1"/>
  <c r="M472" i="1"/>
  <c r="M471" i="1"/>
  <c r="M470" i="1"/>
  <c r="M469" i="1"/>
  <c r="M468" i="1"/>
  <c r="M467" i="1"/>
  <c r="L466" i="1"/>
  <c r="K466" i="1"/>
  <c r="M465" i="1"/>
  <c r="M464" i="1"/>
  <c r="M463" i="1"/>
  <c r="M462" i="1"/>
  <c r="M461" i="1"/>
  <c r="M460" i="1"/>
  <c r="M459" i="1"/>
  <c r="K447" i="1"/>
  <c r="L446" i="1"/>
  <c r="M446" i="1" s="1"/>
  <c r="L445" i="1"/>
  <c r="M445" i="1" s="1"/>
  <c r="L456" i="1"/>
  <c r="K456" i="1"/>
  <c r="M455" i="1"/>
  <c r="M454" i="1"/>
  <c r="M453" i="1"/>
  <c r="M452" i="1"/>
  <c r="M450" i="1"/>
  <c r="M449" i="1"/>
  <c r="M448" i="1"/>
  <c r="L444" i="1"/>
  <c r="K444" i="1"/>
  <c r="M443" i="1"/>
  <c r="M442" i="1"/>
  <c r="M441" i="1"/>
  <c r="M440" i="1"/>
  <c r="M439" i="1"/>
  <c r="M438" i="1"/>
  <c r="M437" i="1"/>
  <c r="L436" i="1"/>
  <c r="K436" i="1"/>
  <c r="M435" i="1"/>
  <c r="M434" i="1"/>
  <c r="M433" i="1"/>
  <c r="M432" i="1"/>
  <c r="M431" i="1"/>
  <c r="M430" i="1"/>
  <c r="M429" i="1"/>
  <c r="L428" i="1"/>
  <c r="K428" i="1"/>
  <c r="M427" i="1"/>
  <c r="M426" i="1"/>
  <c r="M425" i="1"/>
  <c r="M424" i="1"/>
  <c r="M423" i="1"/>
  <c r="M422" i="1"/>
  <c r="M421" i="1"/>
  <c r="K420" i="1"/>
  <c r="L419" i="1"/>
  <c r="M419" i="1" s="1"/>
  <c r="K380" i="1"/>
  <c r="L380" i="1" s="1"/>
  <c r="L379" i="1"/>
  <c r="K378" i="1"/>
  <c r="L378" i="1" s="1"/>
  <c r="L377" i="1"/>
  <c r="K376" i="1"/>
  <c r="L376" i="1" s="1"/>
  <c r="L375" i="1"/>
  <c r="M485" i="1" l="1"/>
  <c r="L490" i="1"/>
  <c r="L447" i="1"/>
  <c r="L381" i="1"/>
  <c r="L420" i="1"/>
  <c r="K381" i="1"/>
  <c r="L418" i="1"/>
  <c r="K418" i="1"/>
  <c r="K457" i="1" s="1"/>
  <c r="M417" i="1"/>
  <c r="M416" i="1"/>
  <c r="M415" i="1"/>
  <c r="M414" i="1"/>
  <c r="M413" i="1"/>
  <c r="M412" i="1"/>
  <c r="M411" i="1"/>
  <c r="M402" i="1"/>
  <c r="L408" i="1"/>
  <c r="K408" i="1"/>
  <c r="M407" i="1"/>
  <c r="M406" i="1"/>
  <c r="M405" i="1"/>
  <c r="M404" i="1"/>
  <c r="M403" i="1"/>
  <c r="M401" i="1"/>
  <c r="L400" i="1"/>
  <c r="K400" i="1"/>
  <c r="M399" i="1"/>
  <c r="M398" i="1"/>
  <c r="L397" i="1"/>
  <c r="K397" i="1"/>
  <c r="M396" i="1"/>
  <c r="M395" i="1"/>
  <c r="M394" i="1"/>
  <c r="M393" i="1"/>
  <c r="M392" i="1"/>
  <c r="M391" i="1"/>
  <c r="M390" i="1"/>
  <c r="L389" i="1"/>
  <c r="K389" i="1"/>
  <c r="M388" i="1"/>
  <c r="M387" i="1"/>
  <c r="M386" i="1"/>
  <c r="M385" i="1"/>
  <c r="M384" i="1"/>
  <c r="M383" i="1"/>
  <c r="M382" i="1"/>
  <c r="K356" i="1"/>
  <c r="L355" i="1"/>
  <c r="M355" i="1" s="1"/>
  <c r="L374" i="1"/>
  <c r="K374" i="1"/>
  <c r="M373" i="1"/>
  <c r="M372" i="1"/>
  <c r="M371" i="1"/>
  <c r="M370" i="1"/>
  <c r="M369" i="1"/>
  <c r="M368" i="1"/>
  <c r="M367" i="1"/>
  <c r="L364" i="1"/>
  <c r="K364" i="1"/>
  <c r="M363" i="1"/>
  <c r="M362" i="1"/>
  <c r="M361" i="1"/>
  <c r="M360" i="1"/>
  <c r="M359" i="1"/>
  <c r="M358" i="1"/>
  <c r="M357" i="1"/>
  <c r="L354" i="1"/>
  <c r="K354" i="1"/>
  <c r="M353" i="1"/>
  <c r="M352" i="1"/>
  <c r="M351" i="1"/>
  <c r="M350" i="1"/>
  <c r="M349" i="1"/>
  <c r="M348" i="1"/>
  <c r="M347" i="1"/>
  <c r="K338" i="1"/>
  <c r="L346" i="1"/>
  <c r="K346" i="1"/>
  <c r="M345" i="1"/>
  <c r="M344" i="1"/>
  <c r="M343" i="1"/>
  <c r="M342" i="1"/>
  <c r="M341" i="1"/>
  <c r="M340" i="1"/>
  <c r="M339" i="1"/>
  <c r="L337" i="1"/>
  <c r="M337" i="1" s="1"/>
  <c r="K336" i="1"/>
  <c r="L457" i="1" l="1"/>
  <c r="L409" i="1"/>
  <c r="K409" i="1"/>
  <c r="L356" i="1"/>
  <c r="L338" i="1"/>
  <c r="M331" i="1"/>
  <c r="L336" i="1"/>
  <c r="M335" i="1"/>
  <c r="M334" i="1"/>
  <c r="M333" i="1"/>
  <c r="M332" i="1"/>
  <c r="M330" i="1"/>
  <c r="M329" i="1"/>
  <c r="M328" i="1"/>
  <c r="L327" i="1"/>
  <c r="K327" i="1"/>
  <c r="K365" i="1" s="1"/>
  <c r="M326" i="1"/>
  <c r="M325" i="1"/>
  <c r="M324" i="1"/>
  <c r="M323" i="1"/>
  <c r="M322" i="1"/>
  <c r="M321" i="1"/>
  <c r="M320" i="1"/>
  <c r="K309" i="1"/>
  <c r="L317" i="1"/>
  <c r="K317" i="1"/>
  <c r="M316" i="1"/>
  <c r="M315" i="1"/>
  <c r="M314" i="1"/>
  <c r="M313" i="1"/>
  <c r="M312" i="1"/>
  <c r="M311" i="1"/>
  <c r="M310" i="1"/>
  <c r="L309" i="1"/>
  <c r="M308" i="1"/>
  <c r="M307" i="1"/>
  <c r="M306" i="1"/>
  <c r="M305" i="1"/>
  <c r="M304" i="1"/>
  <c r="M303" i="1"/>
  <c r="M302" i="1"/>
  <c r="L301" i="1"/>
  <c r="K301" i="1"/>
  <c r="M300" i="1"/>
  <c r="M299" i="1"/>
  <c r="M298" i="1"/>
  <c r="M297" i="1"/>
  <c r="M296" i="1"/>
  <c r="M295" i="1"/>
  <c r="M294" i="1"/>
  <c r="K293" i="1"/>
  <c r="L292" i="1"/>
  <c r="M292" i="1" s="1"/>
  <c r="L291" i="1"/>
  <c r="M291" i="1" s="1"/>
  <c r="K180" i="1"/>
  <c r="L179" i="1"/>
  <c r="L180" i="1" s="1"/>
  <c r="K176" i="1"/>
  <c r="L175" i="1"/>
  <c r="M175" i="1" s="1"/>
  <c r="K273" i="1"/>
  <c r="L281" i="1"/>
  <c r="L279" i="1"/>
  <c r="L277" i="1"/>
  <c r="L365" i="1" l="1"/>
  <c r="L293" i="1"/>
  <c r="M179" i="1"/>
  <c r="L176" i="1"/>
  <c r="K277" i="1"/>
  <c r="M277" i="1" s="1"/>
  <c r="K281" i="1"/>
  <c r="M281" i="1" s="1"/>
  <c r="K279" i="1"/>
  <c r="M279" i="1" s="1"/>
  <c r="L282" i="1"/>
  <c r="L290" i="1"/>
  <c r="K290" i="1"/>
  <c r="M289" i="1"/>
  <c r="M288" i="1"/>
  <c r="M287" i="1"/>
  <c r="M286" i="1"/>
  <c r="M285" i="1"/>
  <c r="M284" i="1"/>
  <c r="M283" i="1"/>
  <c r="L318" i="1" l="1"/>
  <c r="K282" i="1"/>
  <c r="K318" i="1" s="1"/>
  <c r="L273" i="1"/>
  <c r="M272" i="1"/>
  <c r="M271" i="1"/>
  <c r="M270" i="1"/>
  <c r="M269" i="1"/>
  <c r="M268" i="1"/>
  <c r="M267" i="1"/>
  <c r="M266" i="1"/>
  <c r="L265" i="1"/>
  <c r="K265" i="1"/>
  <c r="M264" i="1"/>
  <c r="M263" i="1"/>
  <c r="M262" i="1"/>
  <c r="M261" i="1"/>
  <c r="M260" i="1"/>
  <c r="M259" i="1"/>
  <c r="M258" i="1"/>
  <c r="L249" i="1"/>
  <c r="K249" i="1"/>
  <c r="M248" i="1"/>
  <c r="M247" i="1"/>
  <c r="M225" i="1"/>
  <c r="M224" i="1"/>
  <c r="L227" i="1"/>
  <c r="K227" i="1"/>
  <c r="M226" i="1"/>
  <c r="M223" i="1"/>
  <c r="M222" i="1"/>
  <c r="M221" i="1"/>
  <c r="M220" i="1"/>
  <c r="K218" i="1"/>
  <c r="K216" i="1"/>
  <c r="K214" i="1"/>
  <c r="K212" i="1"/>
  <c r="K210" i="1"/>
  <c r="K208" i="1"/>
  <c r="K206" i="1"/>
  <c r="K219" i="1" l="1"/>
  <c r="L218" i="1"/>
  <c r="L212" i="1"/>
  <c r="L216" i="1"/>
  <c r="L214" i="1"/>
  <c r="L210" i="1"/>
  <c r="L208" i="1"/>
  <c r="L206" i="1"/>
  <c r="L217" i="1"/>
  <c r="L215" i="1"/>
  <c r="L213" i="1"/>
  <c r="L211" i="1"/>
  <c r="L209" i="1"/>
  <c r="L207" i="1"/>
  <c r="L205" i="1"/>
  <c r="L219" i="1" l="1"/>
  <c r="M218" i="1"/>
  <c r="M214" i="1"/>
  <c r="M216" i="1" l="1"/>
  <c r="M210" i="1"/>
  <c r="M206" i="1"/>
  <c r="M208" i="1"/>
  <c r="M212" i="1"/>
  <c r="L257" i="1" l="1"/>
  <c r="K257" i="1"/>
  <c r="M256" i="1"/>
  <c r="M255" i="1"/>
  <c r="M254" i="1"/>
  <c r="M253" i="1"/>
  <c r="M252" i="1"/>
  <c r="M251" i="1"/>
  <c r="M250" i="1"/>
  <c r="L246" i="1" l="1"/>
  <c r="L274" i="1" s="1"/>
  <c r="K246" i="1"/>
  <c r="K274" i="1" s="1"/>
  <c r="M245" i="1"/>
  <c r="M244" i="1"/>
  <c r="M243" i="1"/>
  <c r="M242" i="1"/>
  <c r="M241" i="1"/>
  <c r="M240" i="1"/>
  <c r="M239" i="1"/>
  <c r="M231" i="1"/>
  <c r="L236" i="1"/>
  <c r="K236" i="1"/>
  <c r="M235" i="1"/>
  <c r="M234" i="1"/>
  <c r="M233" i="1"/>
  <c r="M232" i="1"/>
  <c r="M230" i="1"/>
  <c r="M229" i="1"/>
  <c r="M228" i="1"/>
  <c r="L204" i="1"/>
  <c r="K204" i="1"/>
  <c r="M203" i="1"/>
  <c r="M202" i="1"/>
  <c r="M201" i="1"/>
  <c r="M200" i="1"/>
  <c r="M199" i="1"/>
  <c r="M198" i="1"/>
  <c r="M197" i="1"/>
  <c r="L196" i="1"/>
  <c r="K196" i="1"/>
  <c r="M195" i="1"/>
  <c r="M194" i="1"/>
  <c r="M193" i="1"/>
  <c r="M192" i="1"/>
  <c r="M191" i="1"/>
  <c r="M190" i="1"/>
  <c r="M189" i="1"/>
  <c r="L188" i="1"/>
  <c r="K188" i="1"/>
  <c r="M187" i="1"/>
  <c r="M186" i="1"/>
  <c r="M185" i="1"/>
  <c r="M184" i="1"/>
  <c r="M183" i="1"/>
  <c r="M182" i="1"/>
  <c r="M181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K154" i="1" l="1"/>
  <c r="L154" i="1"/>
  <c r="K237" i="1"/>
  <c r="L237" i="1"/>
  <c r="K177" i="1"/>
  <c r="L177" i="1"/>
  <c r="L111" i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L29" i="1" l="1"/>
  <c r="L34" i="1"/>
  <c r="L84" i="1"/>
  <c r="L120" i="1" s="1"/>
  <c r="M79" i="1"/>
  <c r="K84" i="1" l="1"/>
  <c r="K120" i="1" s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K178" i="1" l="1"/>
  <c r="K238" i="1" s="1"/>
  <c r="K275" i="1" s="1"/>
  <c r="K319" i="1" s="1"/>
  <c r="K366" i="1" s="1"/>
  <c r="K75" i="1"/>
  <c r="K121" i="1" s="1"/>
  <c r="K155" i="1" s="1"/>
  <c r="L75" i="1"/>
  <c r="L121" i="1" s="1"/>
  <c r="L155" i="1" s="1"/>
  <c r="L178" i="1" s="1"/>
  <c r="L249" i="5"/>
  <c r="K410" i="1" l="1"/>
  <c r="K458" i="1" s="1"/>
  <c r="K501" i="1" s="1"/>
  <c r="L238" i="1"/>
  <c r="L275" i="1" s="1"/>
  <c r="L319" i="1" s="1"/>
  <c r="L366" i="1" s="1"/>
  <c r="O234" i="5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L410" i="1" l="1"/>
  <c r="L458" i="1" s="1"/>
  <c r="L501" i="1" s="1"/>
  <c r="O228" i="5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<sst xmlns="http://schemas.openxmlformats.org/spreadsheetml/2006/main" count="1036" uniqueCount="289">
  <si>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</si>
  <si>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</si>
  <si>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</si>
  <si>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</si>
  <si>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</si>
  <si>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</si>
  <si>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</si>
  <si>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</si>
  <si>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</si>
  <si>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</si>
  <si>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</si>
  <si>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</si>
  <si>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</si>
  <si>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</si>
  <si>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</si>
  <si>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</si>
  <si>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</si>
  <si>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</si>
  <si>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</si>
  <si>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</si>
  <si>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</si>
  <si>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</si>
  <si>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</si>
  <si>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</si>
  <si>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</si>
  <si>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</si>
  <si>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</si>
  <si>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</si>
  <si>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</si>
  <si>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</si>
  <si>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</si>
  <si>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</si>
  <si>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</si>
  <si>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</si>
  <si>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</si>
  <si>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</si>
  <si>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</si>
  <si>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</si>
  <si>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</si>
  <si>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</si>
  <si>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</si>
  <si>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</si>
  <si>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</si>
  <si>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</si>
  <si>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</si>
  <si>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</si>
  <si>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</si>
  <si>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</si>
  <si>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</si>
  <si>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</si>
  <si>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</si>
  <si>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</si>
  <si>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</si>
  <si>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</si>
  <si>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</si>
  <si>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</si>
  <si>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</si>
  <si>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</si>
  <si>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</si>
  <si>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</si>
  <si>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</si>
  <si>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</si>
  <si>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</si>
  <si>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</si>
  <si>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</si>
  <si>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</si>
  <si>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</si>
  <si>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</si>
  <si>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</si>
  <si>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</si>
  <si>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</si>
  <si>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</si>
  <si>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</si>
  <si>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</si>
  <si>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</si>
  <si>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</si>
  <si>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</si>
  <si>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</si>
  <si>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</si>
  <si>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</si>
  <si>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</si>
  <si>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</si>
  <si>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</si>
  <si>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</si>
  <si>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</si>
  <si>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</si>
  <si>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</si>
  <si>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</si>
  <si>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</si>
  <si>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</si>
  <si>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</si>
  <si>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</si>
  <si>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</si>
  <si>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</si>
  <si>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</si>
  <si>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</si>
  <si>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</si>
  <si>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</si>
  <si>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</si>
  <si>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</si>
  <si>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</si>
  <si>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</si>
  <si>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</si>
  <si>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</si>
  <si>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</si>
  <si>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</si>
  <si>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</si>
  <si>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</si>
  <si>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</si>
  <si>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</si>
  <si>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</si>
  <si>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</si>
  <si>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</si>
  <si>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</si>
  <si>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</si>
  <si>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</si>
  <si>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</si>
  <si>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</si>
  <si>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</si>
  <si>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</si>
  <si>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</si>
  <si>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</si>
  <si>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</si>
  <si>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</si>
  <si>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</si>
  <si>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</si>
  <si>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</si>
  <si>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</si>
  <si>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</si>
  <si>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</si>
  <si>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</si>
  <si>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</si>
  <si>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</si>
  <si>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</si>
  <si>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</si>
  <si>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</si>
  <si>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</si>
  <si>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</si>
  <si>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</si>
  <si>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</si>
  <si>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</si>
  <si>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</si>
  <si>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</si>
  <si>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</si>
  <si>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</si>
  <si>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</si>
  <si>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</si>
  <si>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</si>
  <si>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</si>
  <si>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</si>
  <si>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</si>
  <si>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</si>
  <si>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</si>
  <si>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</si>
  <si>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</si>
  <si>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</si>
  <si>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</si>
  <si>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</si>
  <si>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</si>
  <si>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</si>
  <si>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</si>
  <si>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</si>
  <si>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</si>
  <si>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</si>
  <si>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</si>
  <si>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</si>
  <si>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</si>
  <si>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</si>
  <si>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</si>
  <si>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</si>
  <si>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</si>
  <si>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</si>
  <si>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</si>
  <si>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</si>
  <si>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</si>
  <si>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</si>
  <si>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</si>
  <si>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</si>
  <si>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</si>
  <si>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</si>
  <si>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</si>
  <si>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</si>
  <si>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</si>
  <si>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</si>
  <si>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</si>
  <si>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</si>
  <si>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</si>
  <si>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</si>
  <si>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</si>
  <si>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</si>
  <si>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</si>
  <si>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</si>
  <si>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</si>
  <si>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</si>
  <si>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</si>
  <si>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</si>
  <si>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</si>
  <si>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</si>
  <si>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</si>
  <si>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</si>
  <si>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</si>
  <si>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</si>
  <si>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</si>
  <si>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</si>
  <si>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</si>
  <si>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</si>
  <si>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</si>
  <si>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</si>
  <si>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</si>
  <si>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SPNS03032025</t>
  </si>
  <si>
    <t>SPN03240911</t>
  </si>
  <si>
    <t>SPN12250612</t>
  </si>
  <si>
    <t>RIJPY0527</t>
  </si>
  <si>
    <t>RIJPY0529A</t>
  </si>
  <si>
    <t>RIJPY0531A</t>
  </si>
  <si>
    <t>RIJPY0534A</t>
  </si>
  <si>
    <t>RIJPY0531B</t>
  </si>
  <si>
    <t>RIJPY0534B</t>
  </si>
  <si>
    <t>RIJPY0544</t>
  </si>
  <si>
    <t>JPY50.000.000.000</t>
  </si>
  <si>
    <t>JPY88.000.000.000</t>
  </si>
  <si>
    <t>JPY17.700.000.000</t>
  </si>
  <si>
    <t>JPY2.000.000.000</t>
  </si>
  <si>
    <t>JPY19.300.000.000</t>
  </si>
  <si>
    <t>JPY6.800.000.000</t>
  </si>
  <si>
    <t>JPY16.200.000.000</t>
  </si>
  <si>
    <t>ST012T2</t>
  </si>
  <si>
    <t>ST012T4</t>
  </si>
  <si>
    <t>SPN03240925</t>
  </si>
  <si>
    <t>G r a n d   T o t a l   s . d .  T a n g g a l   2 7   b u l a n   J u n i   2 0 2 4</t>
  </si>
  <si>
    <t>SNI0729</t>
  </si>
  <si>
    <t>SNI0754</t>
  </si>
  <si>
    <t>SNI0734</t>
  </si>
  <si>
    <t>USD750.000.000</t>
  </si>
  <si>
    <t>USD600.000.000</t>
  </si>
  <si>
    <t>G r a n d   T o t a l   b u l a n   J u l i   2 0 2 4</t>
  </si>
  <si>
    <t>SW007</t>
  </si>
  <si>
    <t>SW008</t>
  </si>
  <si>
    <t>SBR013T2</t>
  </si>
  <si>
    <t>SBR013T4</t>
  </si>
  <si>
    <t>SPN03241009</t>
  </si>
  <si>
    <t>SPN12250710</t>
  </si>
  <si>
    <t>SPNS01042025</t>
  </si>
  <si>
    <t>G r a n d   T o t a l   s . d .  T a n g g a l   2 5  b u l a n   J u l i   2 0 2 4</t>
  </si>
  <si>
    <t>SPN03241023</t>
  </si>
  <si>
    <t>SPNS29052025</t>
  </si>
  <si>
    <t>G r a n d   T o t a l   b u l a n   A g u s t u s   2 0 2 4</t>
  </si>
  <si>
    <t>SPN03241106</t>
  </si>
  <si>
    <t>SPN12250807</t>
  </si>
  <si>
    <t>FR0103</t>
  </si>
  <si>
    <t>PBS033</t>
  </si>
  <si>
    <t>FR0104</t>
  </si>
  <si>
    <t>SPN03241120</t>
  </si>
  <si>
    <t>G r a n d   T o t a l   s . d .  T a n g g a l   2 9   b u l a n   A g u s t u s   2 0 2 4</t>
  </si>
  <si>
    <t>G r a n d   T o t a l   b u l a n   S e p t e m b e r   2 0 2 4</t>
  </si>
  <si>
    <t>SPN03241204</t>
  </si>
  <si>
    <t>SPN12250904</t>
  </si>
  <si>
    <t>FR0105</t>
  </si>
  <si>
    <t>SPNS09062025</t>
  </si>
  <si>
    <t>SPN03241218</t>
  </si>
  <si>
    <t>SPN12250918</t>
  </si>
  <si>
    <t>SR021T3</t>
  </si>
  <si>
    <t>SR021T5</t>
  </si>
  <si>
    <t>PBS029</t>
  </si>
  <si>
    <t>G r a n d   T o t a l   s . d .  T a n g g a l   2 6  b u l a n   S e p t e m b e r   2 0 2 4</t>
  </si>
  <si>
    <t>G r a n d   T o t a l   b u l a n   O k t o b e r   2 0 2 4</t>
  </si>
  <si>
    <t>SPN03250101</t>
  </si>
  <si>
    <t>SPN12251002</t>
  </si>
  <si>
    <t>RI0934</t>
  </si>
  <si>
    <t>USD1.150.000.000</t>
  </si>
  <si>
    <t>RI0954</t>
  </si>
  <si>
    <t>RIEUR0932</t>
  </si>
  <si>
    <t>EUR750.000.000</t>
  </si>
  <si>
    <t>SPNS07072025</t>
  </si>
  <si>
    <t>G r a n d   T o t a l   s . d .  T a n g g a l   3 1  b u l a n   O k t o b e r   2 0 2 4</t>
  </si>
  <si>
    <t>ORI026T3</t>
  </si>
  <si>
    <t>ORI026T6</t>
  </si>
  <si>
    <t>SPN03250129</t>
  </si>
  <si>
    <t>SPN12251030</t>
  </si>
  <si>
    <t>G r a n d   T o t a l   b u l a n   N o v e m b e r   2 0 2 4</t>
  </si>
  <si>
    <t>SPNS04082025</t>
  </si>
  <si>
    <t>SPN12251113</t>
  </si>
  <si>
    <t>SNI0530</t>
  </si>
  <si>
    <t>SNI1134</t>
  </si>
  <si>
    <t>SNI1154</t>
  </si>
  <si>
    <t>USD1.100.000.000</t>
  </si>
  <si>
    <t>G r a n d   T o t a l   s . d .  T a n g g a l   2 9   b u l a n  N o v e m b e r  2 0 2 4</t>
  </si>
  <si>
    <t>SPN03250226</t>
  </si>
  <si>
    <t>SPN12251127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</si>
</sst>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5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43" fontId="27" fillId="0" borderId="47" xfId="28" quotePrefix="1" applyFont="1" applyBorder="1" applyAlignment="1" applyProtection="1">
      <alignment horizontal="right" vertical="top" wrapText="1" readingOrder="1"/>
      <protection locked="0"/>
    </xf>
    <xf numFmtId="41" fontId="19" fillId="29" borderId="22" xfId="29" applyFont="1" applyFill="1" applyBorder="1" applyAlignment="1">
      <alignment horizontal="center"/>
    </xf>
    <xf numFmtId="0" fontId="20" fillId="29" borderId="22" xfId="0" applyFont="1" applyFill="1" applyBorder="1"/>
    <xf numFmtId="165" fontId="28" fillId="0" borderId="25" xfId="41" applyNumberFormat="1" applyFont="1" applyFill="1" applyBorder="1" applyAlignment="1">
      <alignment horizontal="center" vertical="center"/>
    </xf>
    <xf numFmtId="41" fontId="28" fillId="0" borderId="47" xfId="29" quotePrefix="1" applyFont="1" applyFill="1" applyBorder="1" applyAlignment="1">
      <alignment vertical="center"/>
    </xf>
    <xf numFmtId="164" fontId="28" fillId="0" borderId="47" xfId="29" applyNumberFormat="1" applyFont="1" applyFill="1" applyBorder="1" applyAlignment="1">
      <alignment horizontal="right"/>
    </xf>
    <xf numFmtId="0" fontId="20" fillId="0" borderId="22" xfId="0" applyFont="1" applyBorder="1" applyAlignment="1">
      <alignment horizontal="center"/>
    </xf>
    <xf numFmtId="0" fontId="28" fillId="0" borderId="22" xfId="0" applyFont="1" applyBorder="1" applyAlignment="1">
      <alignment vertical="center"/>
    </xf>
    <xf numFmtId="165" fontId="28" fillId="0" borderId="22" xfId="41" applyNumberFormat="1" applyFont="1" applyFill="1" applyBorder="1" applyAlignment="1">
      <alignment horizontal="center" vertical="center" wrapText="1"/>
    </xf>
    <xf numFmtId="165" fontId="28" fillId="0" borderId="22" xfId="41" applyNumberFormat="1" applyFont="1" applyFill="1" applyBorder="1" applyAlignment="1">
      <alignment horizontal="center" vertical="center"/>
    </xf>
    <xf numFmtId="168" fontId="20" fillId="0" borderId="22" xfId="0" applyNumberFormat="1" applyFont="1" applyBorder="1" applyAlignment="1">
      <alignment horizontal="center"/>
    </xf>
    <xf numFmtId="41" fontId="20" fillId="29" borderId="23" xfId="29" quotePrefix="1" applyFont="1" applyFill="1" applyBorder="1" applyAlignment="1">
      <alignment horizontal="right"/>
    </xf>
    <xf numFmtId="164" fontId="20" fillId="29" borderId="49" xfId="29" applyNumberFormat="1" applyFont="1" applyFill="1" applyBorder="1" applyAlignment="1">
      <alignment horizontal="right"/>
    </xf>
    <xf numFmtId="165" fontId="20" fillId="29" borderId="23" xfId="41" applyNumberFormat="1" applyFont="1" applyFill="1" applyBorder="1" applyAlignment="1">
      <alignment horizontal="center"/>
    </xf>
    <xf numFmtId="165" fontId="20" fillId="29" borderId="23" xfId="41" quotePrefix="1" applyNumberFormat="1" applyFont="1" applyFill="1" applyBorder="1" applyAlignment="1">
      <alignment horizontal="center"/>
    </xf>
    <xf numFmtId="3" fontId="27" fillId="29" borderId="25" xfId="0" quotePrefix="1" applyNumberFormat="1" applyFont="1" applyFill="1" applyBorder="1" applyAlignment="1" applyProtection="1">
      <alignment horizontal="right" vertical="top" wrapText="1" readingOrder="1"/>
      <protection locked="0"/>
    </xf>
    <xf numFmtId="168" fontId="20" fillId="29" borderId="22" xfId="0" applyNumberFormat="1" applyFont="1" applyFill="1" applyBorder="1" applyAlignment="1">
      <alignment horizontal="center"/>
    </xf>
    <xf numFmtId="0" fontId="20" fillId="29" borderId="22" xfId="0" applyFont="1" applyFill="1" applyBorder="1" applyAlignment="1">
      <alignment horizontal="center"/>
    </xf>
    <xf numFmtId="0" fontId="28" fillId="29" borderId="22" xfId="0" applyFont="1" applyFill="1" applyBorder="1" applyAlignment="1">
      <alignment vertical="center"/>
    </xf>
    <xf numFmtId="165" fontId="28" fillId="29" borderId="22" xfId="41" applyNumberFormat="1" applyFont="1" applyFill="1" applyBorder="1" applyAlignment="1">
      <alignment horizontal="center" vertical="center" wrapText="1"/>
    </xf>
    <xf numFmtId="165" fontId="28" fillId="29" borderId="22" xfId="41" applyNumberFormat="1" applyFont="1" applyFill="1" applyBorder="1" applyAlignment="1">
      <alignment horizontal="center" vertical="center"/>
    </xf>
    <xf numFmtId="0" fontId="20" fillId="0" borderId="0" xfId="46" applyFont="1"/>
    <xf numFmtId="0" fontId="20" fillId="29" borderId="49" xfId="0" applyFont="1" applyFill="1" applyBorder="1" applyAlignment="1">
      <alignment horizontal="center"/>
    </xf>
    <xf numFmtId="165" fontId="20" fillId="29" borderId="49" xfId="49" applyNumberFormat="1" applyFont="1" applyFill="1" applyBorder="1" applyAlignment="1">
      <alignment horizontal="center"/>
    </xf>
    <xf numFmtId="165" fontId="20" fillId="29" borderId="49" xfId="0" applyNumberFormat="1" applyFont="1" applyFill="1" applyBorder="1" applyAlignment="1">
      <alignment horizontal="center"/>
    </xf>
    <xf numFmtId="41" fontId="20" fillId="29" borderId="49" xfId="50" quotePrefix="1" applyFont="1" applyFill="1" applyBorder="1" applyAlignment="1">
      <alignment horizontal="right"/>
    </xf>
    <xf numFmtId="164" fontId="20" fillId="29" borderId="49" xfId="50" applyNumberFormat="1" applyFont="1" applyFill="1" applyBorder="1" applyAlignment="1">
      <alignment horizontal="right"/>
    </xf>
    <xf numFmtId="165" fontId="20" fillId="29" borderId="47" xfId="49" applyNumberFormat="1" applyFont="1" applyFill="1" applyBorder="1" applyAlignment="1">
      <alignment horizontal="center"/>
    </xf>
    <xf numFmtId="41" fontId="20" fillId="29" borderId="47" xfId="50" quotePrefix="1" applyFont="1" applyFill="1" applyBorder="1" applyAlignment="1">
      <alignment horizontal="right"/>
    </xf>
    <xf numFmtId="164" fontId="20" fillId="29" borderId="47" xfId="50" applyNumberFormat="1" applyFont="1" applyFill="1" applyBorder="1" applyAlignment="1">
      <alignment horizontal="right"/>
    </xf>
    <xf numFmtId="0" fontId="20" fillId="29" borderId="50" xfId="0" applyFont="1" applyFill="1" applyBorder="1" applyAlignment="1">
      <alignment horizontal="center"/>
    </xf>
    <xf numFmtId="165" fontId="20" fillId="29" borderId="50" xfId="49" applyNumberFormat="1" applyFont="1" applyFill="1" applyBorder="1" applyAlignment="1">
      <alignment horizontal="center"/>
    </xf>
    <xf numFmtId="165" fontId="20" fillId="29" borderId="50" xfId="0" applyNumberFormat="1" applyFont="1" applyFill="1" applyBorder="1" applyAlignment="1">
      <alignment horizontal="center"/>
    </xf>
    <xf numFmtId="41" fontId="20" fillId="29" borderId="50" xfId="50" quotePrefix="1" applyFont="1" applyFill="1" applyBorder="1" applyAlignment="1">
      <alignment horizontal="right"/>
    </xf>
    <xf numFmtId="164" fontId="20" fillId="29" borderId="50" xfId="50" applyNumberFormat="1" applyFont="1" applyFill="1" applyBorder="1" applyAlignment="1">
      <alignment horizontal="right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0" fontId="20" fillId="0" borderId="35" xfId="0" applyFont="1" applyBorder="1" applyAlignment="1">
      <alignment horizontal="right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16" fontId="19" fillId="29" borderId="24" xfId="0" applyNumberFormat="1" applyFont="1" applyFill="1" applyBorder="1" applyAlignment="1">
      <alignment horizontal="center"/>
    </xf>
    <xf numFmtId="16" fontId="19" fillId="29" borderId="20" xfId="0" applyNumberFormat="1" applyFont="1" applyFill="1" applyBorder="1" applyAlignment="1">
      <alignment horizontal="center"/>
    </xf>
    <xf numFmtId="16" fontId="19" fillId="29" borderId="45" xfId="0" applyNumberFormat="1" applyFont="1" applyFill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29" borderId="52" xfId="0" applyFont="1" applyFill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Comma [0] 9" xfId="50" xr:uid="{818B9C9C-5631-46DA-B704-4F7C966FFACA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Percent 2 2 3" xfId="49" xr:uid="{9C53BFF4-2C04-4E1B-B3FD-400EE8A97D85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8515625" defaultRowHeight="11.25" x14ac:dyDescent="0.2"/>
  <cols>
    <col min="1" max="2" width="11.28515625" style="2" customWidth="1"/>
    <col min="3" max="3" width="20.7109375" style="2" customWidth="1"/>
    <col min="4" max="4" width="11.28515625" style="2" customWidth="1"/>
    <col min="5" max="9" width="10.7109375" style="2" customWidth="1"/>
    <col min="10" max="11" width="10.28515625" style="2" customWidth="1"/>
    <col min="12" max="12" width="13.42578125" style="2" bestFit="1" customWidth="1"/>
    <col min="13" max="13" width="18.28515625" style="2" bestFit="1" customWidth="1"/>
    <col min="14" max="14" width="16.7109375" style="2" customWidth="1"/>
    <col min="15" max="15" width="16" style="2" bestFit="1" customWidth="1"/>
    <col min="16" max="16" width="10.71093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28515625" style="2"/>
    <col min="25" max="26" width="10.7109375" style="2" bestFit="1" customWidth="1"/>
    <col min="27" max="28" width="9.7109375" style="2" bestFit="1" customWidth="1"/>
    <col min="29" max="16384" width="9.28515625" style="2"/>
  </cols>
  <sheetData>
    <row r="1" spans="1:28" x14ac:dyDescent="0.2">
      <c r="A1" s="1" t="s">
        <v>44</v>
      </c>
      <c r="B1" s="1"/>
    </row>
    <row r="3" spans="1:28" ht="33.75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309">
        <v>41016</v>
      </c>
      <c r="B78" s="311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310"/>
      <c r="B79" s="312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310"/>
      <c r="B80" s="312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310"/>
      <c r="B81" s="312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x14ac:dyDescent="0.2">
      <c r="A219" s="1" t="s">
        <v>31</v>
      </c>
      <c r="R219" s="38"/>
    </row>
    <row r="220" spans="1:20" x14ac:dyDescent="0.2">
      <c r="A220" s="1"/>
      <c r="M220" s="38"/>
      <c r="N220" s="38"/>
      <c r="O220" s="38"/>
      <c r="Q220" s="35"/>
    </row>
    <row r="221" spans="1:20" ht="27" customHeight="1" x14ac:dyDescent="0.2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.25" x14ac:dyDescent="0.3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x14ac:dyDescent="0.2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x14ac:dyDescent="0.2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x14ac:dyDescent="0.2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x14ac:dyDescent="0.2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313" t="s">
        <v>73</v>
      </c>
      <c r="O250" s="314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501"/>
  <sheetViews>
    <sheetView showGridLines="0" tabSelected="1" zoomScale="90" zoomScaleNormal="90" zoomScaleSheetLayoutView="90" workbookViewId="0">
      <pane xSplit="4" ySplit="3" topLeftCell="E484" activePane="bottomRight" state="frozen"/>
      <selection pane="topRight" activeCell="D1" sqref="D1"/>
      <selection pane="bottomLeft" activeCell="A4" sqref="A4"/>
      <selection pane="bottomRight" activeCell="L504" sqref="L504"/>
    </sheetView>
  </sheetViews>
  <sheetFormatPr defaultColWidth="9.28515625" defaultRowHeight="11.25" outlineLevelRow="1" x14ac:dyDescent="0.2"/>
  <cols>
    <col min="1" max="1" width="9.28515625" style="157" customWidth="1"/>
    <col min="2" max="2" width="12.28515625" style="157" customWidth="1"/>
    <col min="3" max="3" width="16.28515625" style="157" bestFit="1" customWidth="1"/>
    <col min="4" max="4" width="13.42578125" style="2" bestFit="1" customWidth="1"/>
    <col min="5" max="5" width="13.28515625" style="157" bestFit="1" customWidth="1"/>
    <col min="6" max="6" width="12" style="159" customWidth="1"/>
    <col min="7" max="7" width="13" style="157" customWidth="1"/>
    <col min="8" max="8" width="10.7109375" style="157" customWidth="1"/>
    <col min="9" max="9" width="12.28515625" style="157" customWidth="1"/>
    <col min="10" max="10" width="11.28515625" style="157" bestFit="1" customWidth="1"/>
    <col min="11" max="11" width="16.7109375" style="157" bestFit="1" customWidth="1"/>
    <col min="12" max="12" width="15.7109375" style="157" bestFit="1" customWidth="1"/>
    <col min="13" max="13" width="8" style="157" bestFit="1" customWidth="1"/>
    <col min="14" max="16384" width="9.28515625" style="2"/>
  </cols>
  <sheetData>
    <row r="1" spans="1:13" ht="24.75" customHeight="1" x14ac:dyDescent="0.2">
      <c r="A1" s="171" t="s">
        <v>147</v>
      </c>
      <c r="B1" s="155"/>
      <c r="C1" s="155"/>
    </row>
    <row r="2" spans="1:13" x14ac:dyDescent="0.2">
      <c r="L2" s="327" t="s">
        <v>129</v>
      </c>
      <c r="M2" s="327"/>
    </row>
    <row r="3" spans="1:13" ht="4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">
      <c r="A11" s="315" t="s">
        <v>121</v>
      </c>
      <c r="B11" s="316"/>
      <c r="C11" s="316"/>
      <c r="D11" s="316"/>
      <c r="E11" s="316"/>
      <c r="F11" s="316"/>
      <c r="G11" s="316"/>
      <c r="H11" s="316"/>
      <c r="I11" s="316"/>
      <c r="J11" s="317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">
      <c r="A19" s="321" t="s">
        <v>121</v>
      </c>
      <c r="B19" s="322"/>
      <c r="C19" s="323"/>
      <c r="D19" s="323"/>
      <c r="E19" s="323"/>
      <c r="F19" s="323"/>
      <c r="G19" s="323"/>
      <c r="H19" s="323"/>
      <c r="I19" s="323"/>
      <c r="J19" s="324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">
      <c r="A26" s="315" t="s">
        <v>121</v>
      </c>
      <c r="B26" s="316"/>
      <c r="C26" s="316"/>
      <c r="D26" s="316"/>
      <c r="E26" s="316"/>
      <c r="F26" s="316"/>
      <c r="G26" s="316"/>
      <c r="H26" s="316"/>
      <c r="I26" s="316"/>
      <c r="J26" s="317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328">
        <v>45280</v>
      </c>
      <c r="B27" s="328">
        <v>45287</v>
      </c>
      <c r="C27" s="330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29"/>
      <c r="B28" s="329"/>
      <c r="C28" s="331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">
      <c r="A29" s="332" t="s">
        <v>121</v>
      </c>
      <c r="B29" s="333"/>
      <c r="C29" s="333"/>
      <c r="D29" s="333"/>
      <c r="E29" s="333"/>
      <c r="F29" s="333"/>
      <c r="G29" s="333"/>
      <c r="H29" s="333"/>
      <c r="I29" s="333"/>
      <c r="J29" s="334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335">
        <v>45282</v>
      </c>
      <c r="B30" s="335">
        <v>45288</v>
      </c>
      <c r="C30" s="330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36"/>
      <c r="B31" s="336"/>
      <c r="C31" s="338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36"/>
      <c r="B32" s="336"/>
      <c r="C32" s="338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37"/>
      <c r="B33" s="337"/>
      <c r="C33" s="331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">
      <c r="A34" s="332" t="s">
        <v>121</v>
      </c>
      <c r="B34" s="333"/>
      <c r="C34" s="333"/>
      <c r="D34" s="333"/>
      <c r="E34" s="333"/>
      <c r="F34" s="333"/>
      <c r="G34" s="333"/>
      <c r="H34" s="333"/>
      <c r="I34" s="333"/>
      <c r="J34" s="334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">
      <c r="A42" s="321" t="s">
        <v>121</v>
      </c>
      <c r="B42" s="322"/>
      <c r="C42" s="323"/>
      <c r="D42" s="323"/>
      <c r="E42" s="323"/>
      <c r="F42" s="323"/>
      <c r="G42" s="323"/>
      <c r="H42" s="323"/>
      <c r="I42" s="323"/>
      <c r="J42" s="324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">
      <c r="A49" s="321" t="s">
        <v>121</v>
      </c>
      <c r="B49" s="323"/>
      <c r="C49" s="323"/>
      <c r="D49" s="323"/>
      <c r="E49" s="323"/>
      <c r="F49" s="323"/>
      <c r="G49" s="323"/>
      <c r="H49" s="323"/>
      <c r="I49" s="323"/>
      <c r="J49" s="324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">
      <c r="A57" s="315" t="s">
        <v>121</v>
      </c>
      <c r="B57" s="316"/>
      <c r="C57" s="316"/>
      <c r="D57" s="316"/>
      <c r="E57" s="316"/>
      <c r="F57" s="316"/>
      <c r="G57" s="316"/>
      <c r="H57" s="316"/>
      <c r="I57" s="316"/>
      <c r="J57" s="317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">
      <c r="A65" s="321" t="s">
        <v>121</v>
      </c>
      <c r="B65" s="322"/>
      <c r="C65" s="323"/>
      <c r="D65" s="323"/>
      <c r="E65" s="323"/>
      <c r="F65" s="323"/>
      <c r="G65" s="323"/>
      <c r="H65" s="323"/>
      <c r="I65" s="323"/>
      <c r="J65" s="324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">
      <c r="A73" s="315" t="s">
        <v>121</v>
      </c>
      <c r="B73" s="316"/>
      <c r="C73" s="316"/>
      <c r="D73" s="316"/>
      <c r="E73" s="316"/>
      <c r="F73" s="316"/>
      <c r="G73" s="316"/>
      <c r="H73" s="316"/>
      <c r="I73" s="316"/>
      <c r="J73" s="317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">
      <c r="A74" s="318" t="s">
        <v>143</v>
      </c>
      <c r="B74" s="319"/>
      <c r="C74" s="319"/>
      <c r="D74" s="319"/>
      <c r="E74" s="319"/>
      <c r="F74" s="319"/>
      <c r="G74" s="319"/>
      <c r="H74" s="319"/>
      <c r="I74" s="319"/>
      <c r="J74" s="320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">
      <c r="A75" s="318" t="s">
        <v>161</v>
      </c>
      <c r="B75" s="319"/>
      <c r="C75" s="319"/>
      <c r="D75" s="319"/>
      <c r="E75" s="319"/>
      <c r="F75" s="319"/>
      <c r="G75" s="319"/>
      <c r="H75" s="319"/>
      <c r="I75" s="319"/>
      <c r="J75" s="320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">
      <c r="A84" s="321" t="s">
        <v>121</v>
      </c>
      <c r="B84" s="322"/>
      <c r="C84" s="323"/>
      <c r="D84" s="323"/>
      <c r="E84" s="323"/>
      <c r="F84" s="323"/>
      <c r="G84" s="323"/>
      <c r="H84" s="323"/>
      <c r="I84" s="323"/>
      <c r="J84" s="324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">
      <c r="A92" s="315" t="s">
        <v>121</v>
      </c>
      <c r="B92" s="316"/>
      <c r="C92" s="316"/>
      <c r="D92" s="316"/>
      <c r="E92" s="316"/>
      <c r="F92" s="316"/>
      <c r="G92" s="316"/>
      <c r="H92" s="316"/>
      <c r="I92" s="316"/>
      <c r="J92" s="317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">
      <c r="A100" s="321" t="s">
        <v>121</v>
      </c>
      <c r="B100" s="322"/>
      <c r="C100" s="323"/>
      <c r="D100" s="323"/>
      <c r="E100" s="323"/>
      <c r="F100" s="323"/>
      <c r="G100" s="323"/>
      <c r="H100" s="323"/>
      <c r="I100" s="323"/>
      <c r="J100" s="324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">
      <c r="A108" s="315" t="s">
        <v>121</v>
      </c>
      <c r="B108" s="316"/>
      <c r="C108" s="316"/>
      <c r="D108" s="316"/>
      <c r="E108" s="316"/>
      <c r="F108" s="316"/>
      <c r="G108" s="316"/>
      <c r="H108" s="316"/>
      <c r="I108" s="316"/>
      <c r="J108" s="317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">
      <c r="A111" s="325" t="s">
        <v>121</v>
      </c>
      <c r="B111" s="322"/>
      <c r="C111" s="322"/>
      <c r="D111" s="322"/>
      <c r="E111" s="322"/>
      <c r="F111" s="322"/>
      <c r="G111" s="322"/>
      <c r="H111" s="322"/>
      <c r="I111" s="322"/>
      <c r="J111" s="326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">
      <c r="A119" s="321" t="s">
        <v>121</v>
      </c>
      <c r="B119" s="322"/>
      <c r="C119" s="323"/>
      <c r="D119" s="323"/>
      <c r="E119" s="323"/>
      <c r="F119" s="323"/>
      <c r="G119" s="323"/>
      <c r="H119" s="323"/>
      <c r="I119" s="323"/>
      <c r="J119" s="324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">
      <c r="A120" s="318" t="s">
        <v>164</v>
      </c>
      <c r="B120" s="319"/>
      <c r="C120" s="319"/>
      <c r="D120" s="319"/>
      <c r="E120" s="319"/>
      <c r="F120" s="319"/>
      <c r="G120" s="319"/>
      <c r="H120" s="319"/>
      <c r="I120" s="319"/>
      <c r="J120" s="320"/>
      <c r="K120" s="255">
        <f>K84+K92+K100+K108+K111+K119</f>
        <v>254364902</v>
      </c>
      <c r="L120" s="255">
        <f>L92+L100+L108+L111+L84+L119</f>
        <v>119070702</v>
      </c>
      <c r="M120" s="165"/>
    </row>
    <row r="121" spans="1:13" s="1" customFormat="1" ht="12.75" customHeight="1" outlineLevel="1" x14ac:dyDescent="0.2">
      <c r="A121" s="318" t="s">
        <v>182</v>
      </c>
      <c r="B121" s="319"/>
      <c r="C121" s="319"/>
      <c r="D121" s="319"/>
      <c r="E121" s="319"/>
      <c r="F121" s="319"/>
      <c r="G121" s="319"/>
      <c r="H121" s="319"/>
      <c r="I121" s="319"/>
      <c r="J121" s="320"/>
      <c r="K121" s="255">
        <f>K75+K120</f>
        <v>525420002</v>
      </c>
      <c r="L121" s="255">
        <f>L75+L120</f>
        <v>259702602</v>
      </c>
      <c r="M121" s="165"/>
    </row>
    <row r="122" spans="1:13" s="1" customFormat="1" ht="12.75" customHeight="1" outlineLevel="1" x14ac:dyDescent="0.2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">
      <c r="A129" s="315" t="s">
        <v>121</v>
      </c>
      <c r="B129" s="316"/>
      <c r="C129" s="316"/>
      <c r="D129" s="316"/>
      <c r="E129" s="316"/>
      <c r="F129" s="316"/>
      <c r="G129" s="316"/>
      <c r="H129" s="316"/>
      <c r="I129" s="316"/>
      <c r="J129" s="317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">
      <c r="A137" s="321" t="s">
        <v>121</v>
      </c>
      <c r="B137" s="322"/>
      <c r="C137" s="323"/>
      <c r="D137" s="323"/>
      <c r="E137" s="323"/>
      <c r="F137" s="323"/>
      <c r="G137" s="323"/>
      <c r="H137" s="323"/>
      <c r="I137" s="323"/>
      <c r="J137" s="324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">
      <c r="A145" s="315" t="s">
        <v>121</v>
      </c>
      <c r="B145" s="316"/>
      <c r="C145" s="316"/>
      <c r="D145" s="316"/>
      <c r="E145" s="316"/>
      <c r="F145" s="316"/>
      <c r="G145" s="316"/>
      <c r="H145" s="316"/>
      <c r="I145" s="316"/>
      <c r="J145" s="317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">
      <c r="A153" s="321" t="s">
        <v>121</v>
      </c>
      <c r="B153" s="322"/>
      <c r="C153" s="323"/>
      <c r="D153" s="323"/>
      <c r="E153" s="323"/>
      <c r="F153" s="323"/>
      <c r="G153" s="323"/>
      <c r="H153" s="323"/>
      <c r="I153" s="323"/>
      <c r="J153" s="324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">
      <c r="A154" s="318" t="s">
        <v>188</v>
      </c>
      <c r="B154" s="319"/>
      <c r="C154" s="319"/>
      <c r="D154" s="319"/>
      <c r="E154" s="319"/>
      <c r="F154" s="319"/>
      <c r="G154" s="319"/>
      <c r="H154" s="319"/>
      <c r="I154" s="319"/>
      <c r="J154" s="320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">
      <c r="A155" s="318" t="s">
        <v>191</v>
      </c>
      <c r="B155" s="319"/>
      <c r="C155" s="319"/>
      <c r="D155" s="319"/>
      <c r="E155" s="319"/>
      <c r="F155" s="319"/>
      <c r="G155" s="319"/>
      <c r="H155" s="319"/>
      <c r="I155" s="319"/>
      <c r="J155" s="320"/>
      <c r="K155" s="173">
        <f>K121+K154</f>
        <v>654816202</v>
      </c>
      <c r="L155" s="173">
        <f>L121+L154</f>
        <v>325682602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x14ac:dyDescent="0.2">
      <c r="A158" s="315" t="s">
        <v>121</v>
      </c>
      <c r="B158" s="342"/>
      <c r="C158" s="316"/>
      <c r="D158" s="316"/>
      <c r="E158" s="316"/>
      <c r="F158" s="316"/>
      <c r="G158" s="316"/>
      <c r="H158" s="316"/>
      <c r="I158" s="316"/>
      <c r="J158" s="317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x14ac:dyDescent="0.2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x14ac:dyDescent="0.2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x14ac:dyDescent="0.2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x14ac:dyDescent="0.2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x14ac:dyDescent="0.2">
      <c r="A166" s="315" t="s">
        <v>121</v>
      </c>
      <c r="B166" s="316"/>
      <c r="C166" s="316"/>
      <c r="D166" s="316"/>
      <c r="E166" s="316"/>
      <c r="F166" s="316"/>
      <c r="G166" s="316"/>
      <c r="H166" s="316"/>
      <c r="I166" s="316"/>
      <c r="J166" s="317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x14ac:dyDescent="0.2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x14ac:dyDescent="0.2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x14ac:dyDescent="0.2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x14ac:dyDescent="0.2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x14ac:dyDescent="0.2">
      <c r="A174" s="315" t="s">
        <v>121</v>
      </c>
      <c r="B174" s="342"/>
      <c r="C174" s="316"/>
      <c r="D174" s="316"/>
      <c r="E174" s="316"/>
      <c r="F174" s="316"/>
      <c r="G174" s="316"/>
      <c r="H174" s="316"/>
      <c r="I174" s="316"/>
      <c r="J174" s="317"/>
      <c r="K174" s="176">
        <f>SUM(K167:K173)</f>
        <v>7961300</v>
      </c>
      <c r="L174" s="176">
        <f>SUM(L167:L173)</f>
        <v>5925000</v>
      </c>
      <c r="M174" s="272"/>
    </row>
    <row r="175" spans="1:13" x14ac:dyDescent="0.2">
      <c r="A175" s="284">
        <v>45404</v>
      </c>
      <c r="B175" s="284">
        <v>45407</v>
      </c>
      <c r="C175" s="280" t="s">
        <v>172</v>
      </c>
      <c r="D175" s="281" t="s">
        <v>236</v>
      </c>
      <c r="E175" s="284">
        <v>47233</v>
      </c>
      <c r="F175" s="282">
        <v>6.6500000000000004E-2</v>
      </c>
      <c r="G175" s="283" t="s">
        <v>130</v>
      </c>
      <c r="H175" s="283" t="s">
        <v>130</v>
      </c>
      <c r="I175" s="282">
        <v>6.6500000000000004E-2</v>
      </c>
      <c r="J175" s="277" t="s">
        <v>130</v>
      </c>
      <c r="K175" s="278">
        <v>150000</v>
      </c>
      <c r="L175" s="278">
        <f t="shared" ref="L175" si="26">K175</f>
        <v>150000</v>
      </c>
      <c r="M175" s="279">
        <f t="shared" ref="M175" si="27">IF(L175=0,0,K175/L175)</f>
        <v>1</v>
      </c>
    </row>
    <row r="176" spans="1:13" x14ac:dyDescent="0.2">
      <c r="A176" s="343" t="s">
        <v>121</v>
      </c>
      <c r="B176" s="342"/>
      <c r="C176" s="316"/>
      <c r="D176" s="316"/>
      <c r="E176" s="316"/>
      <c r="F176" s="316"/>
      <c r="G176" s="316"/>
      <c r="H176" s="316"/>
      <c r="I176" s="316"/>
      <c r="J176" s="317"/>
      <c r="K176" s="176">
        <f>K175</f>
        <v>150000</v>
      </c>
      <c r="L176" s="176">
        <f>L175</f>
        <v>150000</v>
      </c>
      <c r="M176" s="272"/>
    </row>
    <row r="177" spans="1:13" x14ac:dyDescent="0.2">
      <c r="A177" s="318" t="s">
        <v>198</v>
      </c>
      <c r="B177" s="319"/>
      <c r="C177" s="319"/>
      <c r="D177" s="319"/>
      <c r="E177" s="319"/>
      <c r="F177" s="319"/>
      <c r="G177" s="319"/>
      <c r="H177" s="319"/>
      <c r="I177" s="319"/>
      <c r="J177" s="320"/>
      <c r="K177" s="173">
        <f>K158+K166+K174+K176</f>
        <v>45738450</v>
      </c>
      <c r="L177" s="173">
        <f>L158+L166+L174+L176</f>
        <v>32509250</v>
      </c>
      <c r="M177" s="165"/>
    </row>
    <row r="178" spans="1:13" x14ac:dyDescent="0.2">
      <c r="A178" s="318" t="s">
        <v>199</v>
      </c>
      <c r="B178" s="319"/>
      <c r="C178" s="319"/>
      <c r="D178" s="319"/>
      <c r="E178" s="319"/>
      <c r="F178" s="319"/>
      <c r="G178" s="319"/>
      <c r="H178" s="319"/>
      <c r="I178" s="319"/>
      <c r="J178" s="320"/>
      <c r="K178" s="173">
        <f>K74+K120+K154+K177</f>
        <v>700554652</v>
      </c>
      <c r="L178" s="173">
        <f>L155+L177</f>
        <v>358191852</v>
      </c>
      <c r="M178" s="165"/>
    </row>
    <row r="179" spans="1:13" x14ac:dyDescent="0.2">
      <c r="A179" s="284">
        <v>45408</v>
      </c>
      <c r="B179" s="284">
        <v>45414</v>
      </c>
      <c r="C179" s="280" t="s">
        <v>172</v>
      </c>
      <c r="D179" s="281" t="s">
        <v>237</v>
      </c>
      <c r="E179" s="284">
        <v>47240</v>
      </c>
      <c r="F179" s="282">
        <v>6.7000000000000004E-2</v>
      </c>
      <c r="G179" s="283" t="s">
        <v>130</v>
      </c>
      <c r="H179" s="283" t="s">
        <v>130</v>
      </c>
      <c r="I179" s="282">
        <v>6.7000000000000004E-2</v>
      </c>
      <c r="J179" s="277" t="s">
        <v>130</v>
      </c>
      <c r="K179" s="278">
        <v>21200</v>
      </c>
      <c r="L179" s="278">
        <f t="shared" ref="L179" si="28">K179</f>
        <v>21200</v>
      </c>
      <c r="M179" s="279">
        <f t="shared" ref="M179" si="29">IF(L179=0,0,K179/L179)</f>
        <v>1</v>
      </c>
    </row>
    <row r="180" spans="1:13" x14ac:dyDescent="0.2">
      <c r="A180" s="343" t="s">
        <v>121</v>
      </c>
      <c r="B180" s="342"/>
      <c r="C180" s="316"/>
      <c r="D180" s="316"/>
      <c r="E180" s="316"/>
      <c r="F180" s="316"/>
      <c r="G180" s="316"/>
      <c r="H180" s="316"/>
      <c r="I180" s="316"/>
      <c r="J180" s="317"/>
      <c r="K180" s="176">
        <f>K179</f>
        <v>21200</v>
      </c>
      <c r="L180" s="176">
        <f>L179</f>
        <v>21200</v>
      </c>
      <c r="M180" s="272"/>
    </row>
    <row r="181" spans="1:13" ht="12" customHeight="1" outlineLevel="1" x14ac:dyDescent="0.2">
      <c r="A181" s="198">
        <v>45412</v>
      </c>
      <c r="B181" s="215">
        <v>45415</v>
      </c>
      <c r="C181" s="199" t="s">
        <v>136</v>
      </c>
      <c r="D181" s="184" t="s">
        <v>200</v>
      </c>
      <c r="E181" s="185">
        <v>45505</v>
      </c>
      <c r="F181" s="186" t="s">
        <v>128</v>
      </c>
      <c r="G181" s="202">
        <v>6.5000000000000002E-2</v>
      </c>
      <c r="H181" s="202">
        <v>7.0000000000000007E-2</v>
      </c>
      <c r="I181" s="194">
        <v>6.5171400000000004E-2</v>
      </c>
      <c r="J181" s="194">
        <v>6.5500000000000003E-2</v>
      </c>
      <c r="K181" s="216">
        <v>3294600</v>
      </c>
      <c r="L181" s="217">
        <v>350000</v>
      </c>
      <c r="M181" s="188">
        <f t="shared" ref="M181:M182" si="30">IF(L181=0,0,K181/L181)</f>
        <v>9.4131428571428568</v>
      </c>
    </row>
    <row r="182" spans="1:13" ht="12" customHeight="1" outlineLevel="1" x14ac:dyDescent="0.2">
      <c r="A182" s="198"/>
      <c r="B182" s="183"/>
      <c r="C182" s="199"/>
      <c r="D182" s="184" t="s">
        <v>201</v>
      </c>
      <c r="E182" s="185">
        <v>45779</v>
      </c>
      <c r="F182" s="186" t="s">
        <v>128</v>
      </c>
      <c r="G182" s="186">
        <v>6.7199999999999996E-2</v>
      </c>
      <c r="H182" s="186">
        <v>7.1499999999999994E-2</v>
      </c>
      <c r="I182" s="202">
        <v>6.7466700000000004E-2</v>
      </c>
      <c r="J182" s="203">
        <v>6.8199999999999997E-2</v>
      </c>
      <c r="K182" s="216">
        <v>4924500</v>
      </c>
      <c r="L182" s="218">
        <v>600000</v>
      </c>
      <c r="M182" s="188">
        <f t="shared" si="30"/>
        <v>8.2074999999999996</v>
      </c>
    </row>
    <row r="183" spans="1:13" ht="12.75" customHeight="1" outlineLevel="1" x14ac:dyDescent="0.2">
      <c r="A183" s="198"/>
      <c r="B183" s="185"/>
      <c r="C183" s="199"/>
      <c r="D183" s="184" t="s">
        <v>141</v>
      </c>
      <c r="E183" s="185">
        <v>47223</v>
      </c>
      <c r="F183" s="186">
        <v>6.8750000000000006E-2</v>
      </c>
      <c r="G183" s="186">
        <v>7.0999999999999994E-2</v>
      </c>
      <c r="H183" s="186">
        <v>7.4999999999999997E-2</v>
      </c>
      <c r="I183" s="187">
        <v>7.1599200000000002E-2</v>
      </c>
      <c r="J183" s="195">
        <v>7.1900000000000006E-2</v>
      </c>
      <c r="K183" s="216">
        <v>14265300</v>
      </c>
      <c r="L183" s="219">
        <v>8450000</v>
      </c>
      <c r="M183" s="188">
        <f>IF(L183=0,0,K183/L183)</f>
        <v>1.6882011834319526</v>
      </c>
    </row>
    <row r="184" spans="1:13" ht="12.75" customHeight="1" outlineLevel="1" x14ac:dyDescent="0.2">
      <c r="A184" s="191"/>
      <c r="B184" s="189"/>
      <c r="C184" s="192"/>
      <c r="D184" s="184" t="s">
        <v>140</v>
      </c>
      <c r="E184" s="185">
        <v>48990</v>
      </c>
      <c r="F184" s="186">
        <v>6.6250000000000003E-2</v>
      </c>
      <c r="G184" s="186">
        <v>7.1900000000000006E-2</v>
      </c>
      <c r="H184" s="186">
        <v>7.6499999999999999E-2</v>
      </c>
      <c r="I184" s="196">
        <v>7.2397400000000001E-2</v>
      </c>
      <c r="J184" s="197">
        <v>7.2800000000000004E-2</v>
      </c>
      <c r="K184" s="216">
        <v>14234200</v>
      </c>
      <c r="L184" s="218">
        <v>8050000</v>
      </c>
      <c r="M184" s="188">
        <f>IF(L184=0,0,K184/L184)</f>
        <v>1.768223602484472</v>
      </c>
    </row>
    <row r="185" spans="1:13" ht="12.75" customHeight="1" outlineLevel="1" x14ac:dyDescent="0.2">
      <c r="A185" s="191"/>
      <c r="B185" s="189"/>
      <c r="C185" s="192"/>
      <c r="D185" s="184" t="s">
        <v>138</v>
      </c>
      <c r="E185" s="185">
        <v>50571</v>
      </c>
      <c r="F185" s="186">
        <v>7.1249999999999994E-2</v>
      </c>
      <c r="G185" s="186">
        <v>7.17E-2</v>
      </c>
      <c r="H185" s="186">
        <v>7.6999999999999999E-2</v>
      </c>
      <c r="I185" s="187">
        <v>7.2397100000000006E-2</v>
      </c>
      <c r="J185" s="195">
        <v>7.2599999999999998E-2</v>
      </c>
      <c r="K185" s="216">
        <v>4140000</v>
      </c>
      <c r="L185" s="219">
        <v>2000000</v>
      </c>
      <c r="M185" s="188">
        <f>IF(L185=0,0,K185/L185)</f>
        <v>2.0699999999999998</v>
      </c>
    </row>
    <row r="186" spans="1:13" ht="12.75" customHeight="1" outlineLevel="1" x14ac:dyDescent="0.2">
      <c r="A186" s="191"/>
      <c r="B186" s="189"/>
      <c r="C186" s="192"/>
      <c r="D186" s="184" t="s">
        <v>137</v>
      </c>
      <c r="E186" s="185">
        <v>52397</v>
      </c>
      <c r="F186" s="186">
        <v>7.1249999999999994E-2</v>
      </c>
      <c r="G186" s="186">
        <v>7.1400000000000005E-2</v>
      </c>
      <c r="H186" s="186">
        <v>0.08</v>
      </c>
      <c r="I186" s="187">
        <v>7.1599599999999999E-2</v>
      </c>
      <c r="J186" s="196">
        <v>7.1599999999999997E-2</v>
      </c>
      <c r="K186" s="220">
        <v>6534200</v>
      </c>
      <c r="L186" s="219">
        <v>2050000</v>
      </c>
      <c r="M186" s="188">
        <f>IF(L186=0,0,K186/L186)</f>
        <v>3.1874146341463416</v>
      </c>
    </row>
    <row r="187" spans="1:13" ht="12.75" customHeight="1" outlineLevel="1" x14ac:dyDescent="0.2">
      <c r="A187" s="191"/>
      <c r="B187" s="200"/>
      <c r="C187" s="192"/>
      <c r="D187" s="184" t="s">
        <v>146</v>
      </c>
      <c r="E187" s="185">
        <v>56445</v>
      </c>
      <c r="F187" s="186">
        <v>6.8750000000000006E-2</v>
      </c>
      <c r="G187" s="186">
        <v>7.1300000000000002E-2</v>
      </c>
      <c r="H187" s="186">
        <v>7.6499999999999999E-2</v>
      </c>
      <c r="I187" s="197" t="s">
        <v>130</v>
      </c>
      <c r="J187" s="196" t="s">
        <v>130</v>
      </c>
      <c r="K187" s="220">
        <v>2806800</v>
      </c>
      <c r="L187" s="218">
        <v>0</v>
      </c>
      <c r="M187" s="201">
        <f>IF(L187=0,0,K187/L187)</f>
        <v>0</v>
      </c>
    </row>
    <row r="188" spans="1:13" s="1" customFormat="1" ht="12.75" customHeight="1" outlineLevel="1" x14ac:dyDescent="0.2">
      <c r="A188" s="321" t="s">
        <v>121</v>
      </c>
      <c r="B188" s="322"/>
      <c r="C188" s="323"/>
      <c r="D188" s="323"/>
      <c r="E188" s="323"/>
      <c r="F188" s="323"/>
      <c r="G188" s="323"/>
      <c r="H188" s="323"/>
      <c r="I188" s="323"/>
      <c r="J188" s="324"/>
      <c r="K188" s="190">
        <f>SUM(K181:K187)</f>
        <v>50199600</v>
      </c>
      <c r="L188" s="190">
        <f>SUM(L181:L187)</f>
        <v>21500000</v>
      </c>
      <c r="M188" s="193"/>
    </row>
    <row r="189" spans="1:13" s="1" customFormat="1" ht="12.75" customHeight="1" outlineLevel="1" x14ac:dyDescent="0.2">
      <c r="A189" s="164">
        <v>45418</v>
      </c>
      <c r="B189" s="164">
        <v>45421</v>
      </c>
      <c r="C189" s="160" t="s">
        <v>136</v>
      </c>
      <c r="D189" s="172" t="s">
        <v>181</v>
      </c>
      <c r="E189" s="158">
        <v>45614</v>
      </c>
      <c r="F189" s="166" t="s">
        <v>128</v>
      </c>
      <c r="G189" s="258">
        <v>6.5000000000000002E-2</v>
      </c>
      <c r="H189" s="166">
        <v>6.6000000000000003E-2</v>
      </c>
      <c r="I189" s="166">
        <v>6.5500000000000003E-2</v>
      </c>
      <c r="J189" s="166">
        <v>6.6000000000000003E-2</v>
      </c>
      <c r="K189" s="256">
        <v>2100000</v>
      </c>
      <c r="L189" s="257">
        <v>400000</v>
      </c>
      <c r="M189" s="170">
        <f>IF(L189=0,0,K189/L189)</f>
        <v>5.25</v>
      </c>
    </row>
    <row r="190" spans="1:13" s="1" customFormat="1" ht="12.75" customHeight="1" outlineLevel="1" x14ac:dyDescent="0.2">
      <c r="A190" s="164"/>
      <c r="B190" s="164"/>
      <c r="C190" s="160"/>
      <c r="D190" s="172" t="s">
        <v>203</v>
      </c>
      <c r="E190" s="158">
        <v>45690</v>
      </c>
      <c r="F190" s="166" t="s">
        <v>128</v>
      </c>
      <c r="G190" s="166">
        <v>6.6000000000000003E-2</v>
      </c>
      <c r="H190" s="166">
        <v>6.8000000000000005E-2</v>
      </c>
      <c r="I190" s="178">
        <v>6.7484000000000002E-2</v>
      </c>
      <c r="J190" s="180">
        <v>6.8000000000000005E-2</v>
      </c>
      <c r="K190" s="256">
        <v>4156400</v>
      </c>
      <c r="L190" s="257">
        <v>2625600</v>
      </c>
      <c r="M190" s="170">
        <f t="shared" ref="M190:M195" si="31">IF(L190=0,0,K190/L190)</f>
        <v>1.5830286410725167</v>
      </c>
    </row>
    <row r="191" spans="1:13" s="1" customFormat="1" ht="12.75" customHeight="1" outlineLevel="1" x14ac:dyDescent="0.2">
      <c r="A191" s="164"/>
      <c r="B191" s="158"/>
      <c r="C191" s="160"/>
      <c r="D191" s="172" t="s">
        <v>150</v>
      </c>
      <c r="E191" s="158">
        <v>46218</v>
      </c>
      <c r="F191" s="166">
        <v>4.8750000000000002E-2</v>
      </c>
      <c r="G191" s="166">
        <v>6.8000000000000005E-2</v>
      </c>
      <c r="H191" s="166">
        <v>7.1499999999999994E-2</v>
      </c>
      <c r="I191" s="175">
        <v>6.8673100000000001E-2</v>
      </c>
      <c r="J191" s="180">
        <v>6.9199999999999998E-2</v>
      </c>
      <c r="K191" s="256">
        <v>2698000</v>
      </c>
      <c r="L191" s="256">
        <v>600000</v>
      </c>
      <c r="M191" s="170">
        <f t="shared" si="31"/>
        <v>4.496666666666667</v>
      </c>
    </row>
    <row r="192" spans="1:13" s="1" customFormat="1" ht="11.45" customHeight="1" outlineLevel="1" x14ac:dyDescent="0.2">
      <c r="A192" s="156"/>
      <c r="B192" s="156"/>
      <c r="C192" s="156"/>
      <c r="D192" s="2" t="s">
        <v>151</v>
      </c>
      <c r="E192" s="158">
        <v>46949</v>
      </c>
      <c r="F192" s="177">
        <v>5.8749999999999997E-2</v>
      </c>
      <c r="G192" s="166">
        <v>6.7299999999999999E-2</v>
      </c>
      <c r="H192" s="166">
        <v>6.9800000000000001E-2</v>
      </c>
      <c r="I192" s="175">
        <v>0</v>
      </c>
      <c r="J192" s="166">
        <v>0</v>
      </c>
      <c r="K192" s="256">
        <v>294000</v>
      </c>
      <c r="L192" s="256">
        <v>0</v>
      </c>
      <c r="M192" s="170">
        <f t="shared" si="31"/>
        <v>0</v>
      </c>
    </row>
    <row r="193" spans="1:13" s="1" customFormat="1" ht="12.75" customHeight="1" outlineLevel="1" x14ac:dyDescent="0.2">
      <c r="A193" s="156"/>
      <c r="B193" s="156"/>
      <c r="C193" s="156"/>
      <c r="D193" s="172" t="s">
        <v>139</v>
      </c>
      <c r="E193" s="158">
        <v>47376</v>
      </c>
      <c r="F193" s="166">
        <v>6.6250000000000003E-2</v>
      </c>
      <c r="G193" s="166">
        <v>6.6900000000000001E-2</v>
      </c>
      <c r="H193" s="166">
        <v>7.0999999999999994E-2</v>
      </c>
      <c r="I193" s="175">
        <v>6.6900000000000001E-2</v>
      </c>
      <c r="J193" s="175">
        <v>6.6900000000000001E-2</v>
      </c>
      <c r="K193" s="256">
        <v>2525000</v>
      </c>
      <c r="L193" s="256">
        <v>200000</v>
      </c>
      <c r="M193" s="170">
        <f t="shared" si="31"/>
        <v>12.625</v>
      </c>
    </row>
    <row r="194" spans="1:13" s="1" customFormat="1" ht="12.75" customHeight="1" outlineLevel="1" x14ac:dyDescent="0.2">
      <c r="A194" s="156"/>
      <c r="B194" s="156"/>
      <c r="C194" s="156"/>
      <c r="D194" s="172" t="s">
        <v>53</v>
      </c>
      <c r="E194" s="158">
        <v>50086</v>
      </c>
      <c r="F194" s="166">
        <v>6.0999999999999999E-2</v>
      </c>
      <c r="G194" s="166">
        <v>6.9000000000000006E-2</v>
      </c>
      <c r="H194" s="166">
        <v>7.1999999999999995E-2</v>
      </c>
      <c r="I194" s="175">
        <v>0</v>
      </c>
      <c r="J194" s="175">
        <v>0</v>
      </c>
      <c r="K194" s="256">
        <v>652000</v>
      </c>
      <c r="L194" s="256">
        <v>0</v>
      </c>
      <c r="M194" s="170">
        <f t="shared" si="31"/>
        <v>0</v>
      </c>
    </row>
    <row r="195" spans="1:13" s="1" customFormat="1" ht="12.75" customHeight="1" outlineLevel="1" x14ac:dyDescent="0.2">
      <c r="A195" s="181"/>
      <c r="B195" s="156"/>
      <c r="C195" s="182"/>
      <c r="D195" s="172" t="s">
        <v>142</v>
      </c>
      <c r="E195" s="158">
        <v>54772</v>
      </c>
      <c r="F195" s="166">
        <v>6.8750000000000006E-2</v>
      </c>
      <c r="G195" s="166">
        <v>7.0699999999999999E-2</v>
      </c>
      <c r="H195" s="166">
        <v>7.2900000000000006E-2</v>
      </c>
      <c r="I195" s="175">
        <v>7.1287299999999998E-2</v>
      </c>
      <c r="J195" s="175">
        <v>7.22E-2</v>
      </c>
      <c r="K195" s="256">
        <v>3570000</v>
      </c>
      <c r="L195" s="256">
        <v>3200000</v>
      </c>
      <c r="M195" s="170">
        <f t="shared" si="31"/>
        <v>1.1156250000000001</v>
      </c>
    </row>
    <row r="196" spans="1:13" s="1" customFormat="1" ht="12.75" customHeight="1" outlineLevel="1" x14ac:dyDescent="0.2">
      <c r="A196" s="315" t="s">
        <v>121</v>
      </c>
      <c r="B196" s="316"/>
      <c r="C196" s="316"/>
      <c r="D196" s="316"/>
      <c r="E196" s="316"/>
      <c r="F196" s="316"/>
      <c r="G196" s="316"/>
      <c r="H196" s="316"/>
      <c r="I196" s="316"/>
      <c r="J196" s="317"/>
      <c r="K196" s="255">
        <f>SUM(K189:K195)</f>
        <v>15995400</v>
      </c>
      <c r="L196" s="255">
        <f>SUM(L189:L195)</f>
        <v>7025600</v>
      </c>
      <c r="M196" s="165"/>
    </row>
    <row r="197" spans="1:13" ht="12" customHeight="1" outlineLevel="1" x14ac:dyDescent="0.2">
      <c r="A197" s="198">
        <v>45426</v>
      </c>
      <c r="B197" s="215">
        <v>45428</v>
      </c>
      <c r="C197" s="199" t="s">
        <v>136</v>
      </c>
      <c r="D197" s="184" t="s">
        <v>204</v>
      </c>
      <c r="E197" s="185">
        <v>45518</v>
      </c>
      <c r="F197" s="186" t="s">
        <v>128</v>
      </c>
      <c r="G197" s="202">
        <v>6.6000000000000003E-2</v>
      </c>
      <c r="H197" s="202">
        <v>6.6000000000000003E-2</v>
      </c>
      <c r="I197" s="194">
        <v>6.6000000000000003E-2</v>
      </c>
      <c r="J197" s="194">
        <v>6.6000000000000003E-2</v>
      </c>
      <c r="K197" s="216">
        <v>2307000</v>
      </c>
      <c r="L197" s="216">
        <v>14000</v>
      </c>
      <c r="M197" s="188">
        <f t="shared" ref="M197:M198" si="32">IF(L197=0,0,K197/L197)</f>
        <v>164.78571428571428</v>
      </c>
    </row>
    <row r="198" spans="1:13" ht="12" customHeight="1" outlineLevel="1" x14ac:dyDescent="0.2">
      <c r="A198" s="198"/>
      <c r="B198" s="183"/>
      <c r="C198" s="199"/>
      <c r="D198" s="184" t="s">
        <v>201</v>
      </c>
      <c r="E198" s="185">
        <v>45779</v>
      </c>
      <c r="F198" s="186" t="s">
        <v>128</v>
      </c>
      <c r="G198" s="186">
        <v>6.7599999999999993E-2</v>
      </c>
      <c r="H198" s="186">
        <v>6.9599999999999995E-2</v>
      </c>
      <c r="I198" s="202">
        <v>6.8280099999999996E-2</v>
      </c>
      <c r="J198" s="203">
        <v>6.8900000000000003E-2</v>
      </c>
      <c r="K198" s="216">
        <v>5103000</v>
      </c>
      <c r="L198" s="216">
        <v>2000000</v>
      </c>
      <c r="M198" s="188">
        <f t="shared" si="32"/>
        <v>2.5514999999999999</v>
      </c>
    </row>
    <row r="199" spans="1:13" ht="12.75" customHeight="1" outlineLevel="1" x14ac:dyDescent="0.2">
      <c r="A199" s="198"/>
      <c r="B199" s="185"/>
      <c r="C199" s="199"/>
      <c r="D199" s="184" t="s">
        <v>141</v>
      </c>
      <c r="E199" s="185">
        <v>47223</v>
      </c>
      <c r="F199" s="186">
        <v>6.8750000000000006E-2</v>
      </c>
      <c r="G199" s="186">
        <v>6.9400000000000003E-2</v>
      </c>
      <c r="H199" s="186">
        <v>7.1999999999999995E-2</v>
      </c>
      <c r="I199" s="187">
        <v>6.9999400000000003E-2</v>
      </c>
      <c r="J199" s="195">
        <v>7.0300000000000001E-2</v>
      </c>
      <c r="K199" s="216">
        <v>12441000</v>
      </c>
      <c r="L199" s="216">
        <v>8600000</v>
      </c>
      <c r="M199" s="188">
        <f>IF(L199=0,0,K199/L199)</f>
        <v>1.4466279069767443</v>
      </c>
    </row>
    <row r="200" spans="1:13" ht="12.75" customHeight="1" outlineLevel="1" x14ac:dyDescent="0.2">
      <c r="A200" s="191"/>
      <c r="B200" s="189"/>
      <c r="C200" s="192"/>
      <c r="D200" s="184" t="s">
        <v>140</v>
      </c>
      <c r="E200" s="185">
        <v>48990</v>
      </c>
      <c r="F200" s="186">
        <v>6.6250000000000003E-2</v>
      </c>
      <c r="G200" s="186">
        <v>6.9900000000000004E-2</v>
      </c>
      <c r="H200" s="186">
        <v>7.2499999999999995E-2</v>
      </c>
      <c r="I200" s="196">
        <v>7.0298700000000006E-2</v>
      </c>
      <c r="J200" s="197">
        <v>7.0499999999999993E-2</v>
      </c>
      <c r="K200" s="216">
        <v>17433700</v>
      </c>
      <c r="L200" s="216">
        <v>6050000</v>
      </c>
      <c r="M200" s="188">
        <f>IF(L200=0,0,K200/L200)</f>
        <v>2.881603305785124</v>
      </c>
    </row>
    <row r="201" spans="1:13" ht="12.75" customHeight="1" outlineLevel="1" x14ac:dyDescent="0.2">
      <c r="A201" s="191"/>
      <c r="B201" s="189"/>
      <c r="C201" s="192"/>
      <c r="D201" s="184" t="s">
        <v>138</v>
      </c>
      <c r="E201" s="185">
        <v>50571</v>
      </c>
      <c r="F201" s="186">
        <v>7.1249999999999994E-2</v>
      </c>
      <c r="G201" s="186">
        <v>6.9699999999999998E-2</v>
      </c>
      <c r="H201" s="186">
        <v>7.2499999999999995E-2</v>
      </c>
      <c r="I201" s="187">
        <v>7.0196499999999995E-2</v>
      </c>
      <c r="J201" s="197">
        <v>7.0499999999999993E-2</v>
      </c>
      <c r="K201" s="216">
        <v>4880500</v>
      </c>
      <c r="L201" s="216">
        <v>2100000</v>
      </c>
      <c r="M201" s="188">
        <f>IF(L201=0,0,K201/L201)</f>
        <v>2.3240476190476191</v>
      </c>
    </row>
    <row r="202" spans="1:13" ht="12.75" customHeight="1" outlineLevel="1" x14ac:dyDescent="0.2">
      <c r="A202" s="191"/>
      <c r="B202" s="189"/>
      <c r="C202" s="192"/>
      <c r="D202" s="184" t="s">
        <v>137</v>
      </c>
      <c r="E202" s="185">
        <v>52397</v>
      </c>
      <c r="F202" s="186">
        <v>7.1249999999999994E-2</v>
      </c>
      <c r="G202" s="186">
        <v>6.9800000000000001E-2</v>
      </c>
      <c r="H202" s="186">
        <v>7.1999999999999995E-2</v>
      </c>
      <c r="I202" s="187">
        <v>7.0575299999999994E-2</v>
      </c>
      <c r="J202" s="195">
        <v>7.0900000000000005E-2</v>
      </c>
      <c r="K202" s="220">
        <v>3491900</v>
      </c>
      <c r="L202" s="220">
        <v>2000000</v>
      </c>
      <c r="M202" s="188">
        <f>IF(L202=0,0,K202/L202)</f>
        <v>1.7459499999999999</v>
      </c>
    </row>
    <row r="203" spans="1:13" ht="12.75" customHeight="1" outlineLevel="1" x14ac:dyDescent="0.2">
      <c r="A203" s="191"/>
      <c r="B203" s="200"/>
      <c r="C203" s="192"/>
      <c r="D203" s="184" t="s">
        <v>146</v>
      </c>
      <c r="E203" s="185">
        <v>56445</v>
      </c>
      <c r="F203" s="186">
        <v>6.8750000000000006E-2</v>
      </c>
      <c r="G203" s="186">
        <v>6.9699999999999998E-2</v>
      </c>
      <c r="H203" s="186">
        <v>7.1999999999999995E-2</v>
      </c>
      <c r="I203" s="197">
        <v>7.0296499999999998E-2</v>
      </c>
      <c r="J203" s="196">
        <v>7.0499999999999993E-2</v>
      </c>
      <c r="K203" s="220">
        <v>3764300</v>
      </c>
      <c r="L203" s="220">
        <v>600000</v>
      </c>
      <c r="M203" s="201">
        <f>IF(L203=0,0,K203/L203)</f>
        <v>6.2738333333333332</v>
      </c>
    </row>
    <row r="204" spans="1:13" s="1" customFormat="1" ht="12.75" customHeight="1" outlineLevel="1" x14ac:dyDescent="0.2">
      <c r="A204" s="321" t="s">
        <v>121</v>
      </c>
      <c r="B204" s="322"/>
      <c r="C204" s="323"/>
      <c r="D204" s="323"/>
      <c r="E204" s="323"/>
      <c r="F204" s="323"/>
      <c r="G204" s="323"/>
      <c r="H204" s="323"/>
      <c r="I204" s="323"/>
      <c r="J204" s="324"/>
      <c r="K204" s="190">
        <f>SUM(K197:K203)</f>
        <v>49421400</v>
      </c>
      <c r="L204" s="190">
        <f>SUM(L197:L203)</f>
        <v>21364000</v>
      </c>
      <c r="M204" s="193"/>
    </row>
    <row r="205" spans="1:13" ht="12.75" customHeight="1" outlineLevel="1" x14ac:dyDescent="0.2">
      <c r="A205" s="185">
        <v>45429</v>
      </c>
      <c r="B205" s="185">
        <v>45439</v>
      </c>
      <c r="C205" s="210" t="s">
        <v>155</v>
      </c>
      <c r="D205" s="184" t="s">
        <v>212</v>
      </c>
      <c r="E205" s="185">
        <v>46168</v>
      </c>
      <c r="F205" s="186">
        <v>9.9000000000000008E-3</v>
      </c>
      <c r="G205" s="186"/>
      <c r="H205" s="186"/>
      <c r="I205" s="186">
        <v>9.9000000000000008E-3</v>
      </c>
      <c r="J205" s="187"/>
      <c r="K205" s="211" t="s">
        <v>219</v>
      </c>
      <c r="L205" s="285" t="str">
        <f t="shared" ref="L205:L218" si="33">K205</f>
        <v>JPY50.000.000.000</v>
      </c>
      <c r="M205" s="286"/>
    </row>
    <row r="206" spans="1:13" ht="12.75" customHeight="1" outlineLevel="1" x14ac:dyDescent="0.2">
      <c r="A206" s="189"/>
      <c r="B206" s="189"/>
      <c r="C206" s="210"/>
      <c r="D206" s="184"/>
      <c r="E206" s="185"/>
      <c r="F206" s="186"/>
      <c r="G206" s="186"/>
      <c r="H206" s="186"/>
      <c r="I206" s="186"/>
      <c r="J206" s="187"/>
      <c r="K206" s="211">
        <f>50000000000*102.2666/1000000</f>
        <v>5113330</v>
      </c>
      <c r="L206" s="285">
        <f t="shared" si="33"/>
        <v>5113330</v>
      </c>
      <c r="M206" s="188">
        <f t="shared" ref="M206" si="34">IF(L206=0,0,K206/L206)</f>
        <v>1</v>
      </c>
    </row>
    <row r="207" spans="1:13" ht="12.75" customHeight="1" outlineLevel="1" x14ac:dyDescent="0.2">
      <c r="A207" s="189"/>
      <c r="B207" s="185">
        <v>45439</v>
      </c>
      <c r="C207" s="210"/>
      <c r="D207" s="184" t="s">
        <v>213</v>
      </c>
      <c r="E207" s="185">
        <v>46899</v>
      </c>
      <c r="F207" s="186">
        <v>1.3299999999999999E-2</v>
      </c>
      <c r="G207" s="186"/>
      <c r="H207" s="186"/>
      <c r="I207" s="186">
        <v>1.3299999999999999E-2</v>
      </c>
      <c r="J207" s="187"/>
      <c r="K207" s="211" t="s">
        <v>220</v>
      </c>
      <c r="L207" s="285" t="str">
        <f t="shared" si="33"/>
        <v>JPY88.000.000.000</v>
      </c>
      <c r="M207" s="212"/>
    </row>
    <row r="208" spans="1:13" ht="12.75" customHeight="1" outlineLevel="1" x14ac:dyDescent="0.2">
      <c r="A208" s="189"/>
      <c r="B208" s="189"/>
      <c r="C208" s="210"/>
      <c r="D208" s="184"/>
      <c r="E208" s="185"/>
      <c r="F208" s="186"/>
      <c r="G208" s="186"/>
      <c r="H208" s="186"/>
      <c r="I208" s="186"/>
      <c r="J208" s="187"/>
      <c r="K208" s="211">
        <f>88000000000*102.2666/1000000</f>
        <v>8999460.8000000007</v>
      </c>
      <c r="L208" s="285">
        <f t="shared" si="33"/>
        <v>8999460.8000000007</v>
      </c>
      <c r="M208" s="188">
        <f t="shared" ref="M208" si="35">IF(L208=0,0,K208/L208)</f>
        <v>1</v>
      </c>
    </row>
    <row r="209" spans="1:13" ht="12.75" customHeight="1" outlineLevel="1" x14ac:dyDescent="0.2">
      <c r="A209" s="189"/>
      <c r="B209" s="185">
        <v>45439</v>
      </c>
      <c r="C209" s="210"/>
      <c r="D209" s="184" t="s">
        <v>214</v>
      </c>
      <c r="E209" s="185">
        <v>47627</v>
      </c>
      <c r="F209" s="186">
        <v>1.5699999999999999E-2</v>
      </c>
      <c r="G209" s="186"/>
      <c r="H209" s="186"/>
      <c r="I209" s="186">
        <v>1.5699999999999999E-2</v>
      </c>
      <c r="J209" s="187"/>
      <c r="K209" s="211" t="s">
        <v>221</v>
      </c>
      <c r="L209" s="285" t="str">
        <f t="shared" si="33"/>
        <v>JPY17.700.000.000</v>
      </c>
      <c r="M209" s="212"/>
    </row>
    <row r="210" spans="1:13" ht="12.75" customHeight="1" outlineLevel="1" x14ac:dyDescent="0.2">
      <c r="A210" s="189"/>
      <c r="B210" s="189"/>
      <c r="C210" s="210"/>
      <c r="D210" s="184"/>
      <c r="E210" s="185"/>
      <c r="F210" s="186"/>
      <c r="G210" s="186"/>
      <c r="H210" s="186"/>
      <c r="I210" s="186"/>
      <c r="J210" s="187"/>
      <c r="K210" s="211">
        <f>17700000000*102.2666/1000000</f>
        <v>1810118.82</v>
      </c>
      <c r="L210" s="285">
        <f t="shared" si="33"/>
        <v>1810118.82</v>
      </c>
      <c r="M210" s="188">
        <f t="shared" ref="M210" si="36">IF(L210=0,0,K210/L210)</f>
        <v>1</v>
      </c>
    </row>
    <row r="211" spans="1:13" ht="12.75" customHeight="1" outlineLevel="1" x14ac:dyDescent="0.2">
      <c r="A211" s="189"/>
      <c r="B211" s="185">
        <v>45439</v>
      </c>
      <c r="C211" s="210"/>
      <c r="D211" s="184" t="s">
        <v>215</v>
      </c>
      <c r="E211" s="185">
        <v>48725</v>
      </c>
      <c r="F211" s="186">
        <v>1.9099999999999999E-2</v>
      </c>
      <c r="G211" s="186"/>
      <c r="H211" s="186"/>
      <c r="I211" s="186">
        <v>1.9099999999999999E-2</v>
      </c>
      <c r="J211" s="187"/>
      <c r="K211" s="211" t="s">
        <v>222</v>
      </c>
      <c r="L211" s="285" t="str">
        <f t="shared" si="33"/>
        <v>JPY2.000.000.000</v>
      </c>
      <c r="M211" s="212"/>
    </row>
    <row r="212" spans="1:13" ht="12.75" customHeight="1" outlineLevel="1" x14ac:dyDescent="0.2">
      <c r="A212" s="189"/>
      <c r="B212" s="189"/>
      <c r="C212" s="210"/>
      <c r="D212" s="184"/>
      <c r="E212" s="185"/>
      <c r="F212" s="186"/>
      <c r="G212" s="186"/>
      <c r="H212" s="186"/>
      <c r="I212" s="186"/>
      <c r="J212" s="187"/>
      <c r="K212" s="211">
        <f>2000000000*102.2666/1000000</f>
        <v>204533.2</v>
      </c>
      <c r="L212" s="285">
        <f t="shared" si="33"/>
        <v>204533.2</v>
      </c>
      <c r="M212" s="188">
        <f t="shared" ref="M212" si="37">IF(L212=0,0,K212/L212)</f>
        <v>1</v>
      </c>
    </row>
    <row r="213" spans="1:13" ht="12.75" customHeight="1" outlineLevel="1" x14ac:dyDescent="0.2">
      <c r="A213" s="189"/>
      <c r="B213" s="185">
        <v>45439</v>
      </c>
      <c r="C213" s="210"/>
      <c r="D213" s="184" t="s">
        <v>216</v>
      </c>
      <c r="E213" s="185">
        <v>46899</v>
      </c>
      <c r="F213" s="186">
        <v>1.5699999999999999E-2</v>
      </c>
      <c r="G213" s="186"/>
      <c r="H213" s="186"/>
      <c r="I213" s="186">
        <v>1.5699999999999999E-2</v>
      </c>
      <c r="J213" s="187"/>
      <c r="K213" s="211" t="s">
        <v>223</v>
      </c>
      <c r="L213" s="285" t="str">
        <f t="shared" si="33"/>
        <v>JPY19.300.000.000</v>
      </c>
      <c r="M213" s="212"/>
    </row>
    <row r="214" spans="1:13" ht="12.75" customHeight="1" outlineLevel="1" x14ac:dyDescent="0.2">
      <c r="A214" s="189"/>
      <c r="B214" s="189"/>
      <c r="C214" s="210"/>
      <c r="D214" s="184"/>
      <c r="E214" s="185"/>
      <c r="F214" s="186"/>
      <c r="G214" s="186"/>
      <c r="H214" s="186"/>
      <c r="I214" s="186"/>
      <c r="J214" s="187"/>
      <c r="K214" s="211">
        <f>19300000000*102.2666/1000000</f>
        <v>1973745.38</v>
      </c>
      <c r="L214" s="285">
        <f t="shared" si="33"/>
        <v>1973745.38</v>
      </c>
      <c r="M214" s="188">
        <f t="shared" ref="M214" si="38">IF(L214=0,0,K214/L214)</f>
        <v>1</v>
      </c>
    </row>
    <row r="215" spans="1:13" ht="12.75" customHeight="1" outlineLevel="1" x14ac:dyDescent="0.2">
      <c r="A215" s="189"/>
      <c r="B215" s="185">
        <v>45439</v>
      </c>
      <c r="C215" s="210"/>
      <c r="D215" s="184" t="s">
        <v>217</v>
      </c>
      <c r="E215" s="185">
        <v>47627</v>
      </c>
      <c r="F215" s="186">
        <v>1.9099999999999999E-2</v>
      </c>
      <c r="G215" s="186"/>
      <c r="H215" s="186"/>
      <c r="I215" s="186">
        <v>1.9099999999999999E-2</v>
      </c>
      <c r="J215" s="187"/>
      <c r="K215" s="211" t="s">
        <v>224</v>
      </c>
      <c r="L215" s="285" t="str">
        <f t="shared" si="33"/>
        <v>JPY6.800.000.000</v>
      </c>
      <c r="M215" s="212"/>
    </row>
    <row r="216" spans="1:13" ht="12.75" customHeight="1" outlineLevel="1" x14ac:dyDescent="0.2">
      <c r="A216" s="189"/>
      <c r="B216" s="189"/>
      <c r="C216" s="210"/>
      <c r="D216" s="184"/>
      <c r="E216" s="185"/>
      <c r="F216" s="186"/>
      <c r="G216" s="186"/>
      <c r="H216" s="186"/>
      <c r="I216" s="186"/>
      <c r="J216" s="187"/>
      <c r="K216" s="211">
        <f>6800000000*102.2666/1000000</f>
        <v>695412.88</v>
      </c>
      <c r="L216" s="285">
        <f t="shared" si="33"/>
        <v>695412.88</v>
      </c>
      <c r="M216" s="188">
        <f t="shared" ref="M216" si="39">IF(L216=0,0,K216/L216)</f>
        <v>1</v>
      </c>
    </row>
    <row r="217" spans="1:13" ht="12.75" customHeight="1" outlineLevel="1" x14ac:dyDescent="0.2">
      <c r="A217" s="189"/>
      <c r="B217" s="185">
        <v>45439</v>
      </c>
      <c r="C217" s="210"/>
      <c r="D217" s="184" t="s">
        <v>218</v>
      </c>
      <c r="E217" s="185">
        <v>46899</v>
      </c>
      <c r="F217" s="186">
        <v>2.5499999999999998E-2</v>
      </c>
      <c r="G217" s="186"/>
      <c r="H217" s="186"/>
      <c r="I217" s="186">
        <v>2.5499999999999998E-2</v>
      </c>
      <c r="J217" s="187"/>
      <c r="K217" s="211" t="s">
        <v>225</v>
      </c>
      <c r="L217" s="285" t="str">
        <f t="shared" si="33"/>
        <v>JPY16.200.000.000</v>
      </c>
      <c r="M217" s="212"/>
    </row>
    <row r="218" spans="1:13" ht="12.75" customHeight="1" outlineLevel="1" x14ac:dyDescent="0.2">
      <c r="A218" s="189"/>
      <c r="B218" s="189"/>
      <c r="C218" s="210"/>
      <c r="D218" s="184"/>
      <c r="E218" s="185"/>
      <c r="F218" s="186"/>
      <c r="G218" s="186"/>
      <c r="H218" s="186"/>
      <c r="I218" s="186"/>
      <c r="J218" s="187"/>
      <c r="K218" s="211">
        <f>16200000000*102.2666/1000000</f>
        <v>1656718.92</v>
      </c>
      <c r="L218" s="285">
        <f t="shared" si="33"/>
        <v>1656718.92</v>
      </c>
      <c r="M218" s="188">
        <f t="shared" ref="M218" si="40">IF(L218=0,0,K218/L218)</f>
        <v>1</v>
      </c>
    </row>
    <row r="219" spans="1:13" s="1" customFormat="1" ht="12.75" customHeight="1" outlineLevel="1" x14ac:dyDescent="0.2">
      <c r="A219" s="321" t="s">
        <v>121</v>
      </c>
      <c r="B219" s="344"/>
      <c r="C219" s="323"/>
      <c r="D219" s="323"/>
      <c r="E219" s="323"/>
      <c r="F219" s="323"/>
      <c r="G219" s="323"/>
      <c r="H219" s="323"/>
      <c r="I219" s="323"/>
      <c r="J219" s="324"/>
      <c r="K219" s="190">
        <f>SUM(K206,K208,K210,K212,K214,K216,K218)</f>
        <v>20453320</v>
      </c>
      <c r="L219" s="190">
        <f>SUM(L206,L208,L210,L212,L214,L216,L218)</f>
        <v>20453320</v>
      </c>
      <c r="M219" s="213"/>
    </row>
    <row r="220" spans="1:13" s="1" customFormat="1" ht="12.75" customHeight="1" outlineLevel="1" x14ac:dyDescent="0.2">
      <c r="A220" s="164">
        <v>45432</v>
      </c>
      <c r="B220" s="164">
        <v>45434</v>
      </c>
      <c r="C220" s="160" t="s">
        <v>136</v>
      </c>
      <c r="D220" s="172" t="s">
        <v>181</v>
      </c>
      <c r="E220" s="158">
        <v>45614</v>
      </c>
      <c r="F220" s="166" t="s">
        <v>128</v>
      </c>
      <c r="G220" s="258">
        <v>6.5000000000000002E-2</v>
      </c>
      <c r="H220" s="166">
        <v>6.6000000000000003E-2</v>
      </c>
      <c r="I220" s="166">
        <v>6.5299999999999997E-2</v>
      </c>
      <c r="J220" s="166">
        <v>6.5500000000000003E-2</v>
      </c>
      <c r="K220" s="256">
        <v>2097500</v>
      </c>
      <c r="L220" s="257">
        <v>250000</v>
      </c>
      <c r="M220" s="170">
        <f>IF(L220=0,0,K220/L220)</f>
        <v>8.39</v>
      </c>
    </row>
    <row r="221" spans="1:13" s="1" customFormat="1" ht="12.75" customHeight="1" outlineLevel="1" x14ac:dyDescent="0.2">
      <c r="A221" s="164"/>
      <c r="B221" s="164"/>
      <c r="C221" s="160"/>
      <c r="D221" s="172" t="s">
        <v>203</v>
      </c>
      <c r="E221" s="158">
        <v>45690</v>
      </c>
      <c r="F221" s="166" t="s">
        <v>128</v>
      </c>
      <c r="G221" s="166">
        <v>6.7500000000000004E-2</v>
      </c>
      <c r="H221" s="166">
        <v>6.9000000000000006E-2</v>
      </c>
      <c r="I221" s="178">
        <v>6.7788000000000001E-2</v>
      </c>
      <c r="J221" s="180">
        <v>6.8000000000000005E-2</v>
      </c>
      <c r="K221" s="256">
        <v>3314500</v>
      </c>
      <c r="L221" s="257">
        <v>650000</v>
      </c>
      <c r="M221" s="170">
        <f t="shared" ref="M221:M226" si="41">IF(L221=0,0,K221/L221)</f>
        <v>5.0992307692307692</v>
      </c>
    </row>
    <row r="222" spans="1:13" s="1" customFormat="1" ht="12.75" customHeight="1" outlineLevel="1" x14ac:dyDescent="0.2">
      <c r="A222" s="164"/>
      <c r="B222" s="158"/>
      <c r="C222" s="160"/>
      <c r="D222" s="172" t="s">
        <v>150</v>
      </c>
      <c r="E222" s="158">
        <v>46218</v>
      </c>
      <c r="F222" s="166">
        <v>4.8750000000000002E-2</v>
      </c>
      <c r="G222" s="166">
        <v>6.7500000000000004E-2</v>
      </c>
      <c r="H222" s="166">
        <v>7.0000000000000007E-2</v>
      </c>
      <c r="I222" s="175">
        <v>6.8792699999999998E-2</v>
      </c>
      <c r="J222" s="180">
        <v>6.9099999999999995E-2</v>
      </c>
      <c r="K222" s="256">
        <v>3794000</v>
      </c>
      <c r="L222" s="256">
        <v>2150000</v>
      </c>
      <c r="M222" s="170">
        <f t="shared" si="41"/>
        <v>1.7646511627906978</v>
      </c>
    </row>
    <row r="223" spans="1:13" s="1" customFormat="1" ht="12.75" customHeight="1" outlineLevel="1" x14ac:dyDescent="0.2">
      <c r="A223" s="156"/>
      <c r="B223" s="156"/>
      <c r="C223" s="156"/>
      <c r="D223" s="2" t="s">
        <v>151</v>
      </c>
      <c r="E223" s="158">
        <v>46949</v>
      </c>
      <c r="F223" s="177">
        <v>5.8749999999999997E-2</v>
      </c>
      <c r="G223" s="166">
        <v>6.7199999999999996E-2</v>
      </c>
      <c r="H223" s="166">
        <v>7.0999999999999994E-2</v>
      </c>
      <c r="I223" s="175">
        <v>6.8199999999999997E-2</v>
      </c>
      <c r="J223" s="166">
        <v>6.8500000000000005E-2</v>
      </c>
      <c r="K223" s="256">
        <v>860000</v>
      </c>
      <c r="L223" s="256">
        <v>250000</v>
      </c>
      <c r="M223" s="170">
        <f t="shared" si="41"/>
        <v>3.44</v>
      </c>
    </row>
    <row r="224" spans="1:13" s="1" customFormat="1" ht="12.75" customHeight="1" outlineLevel="1" x14ac:dyDescent="0.2">
      <c r="A224" s="181"/>
      <c r="B224" s="156"/>
      <c r="C224" s="182"/>
      <c r="D224" s="2" t="s">
        <v>53</v>
      </c>
      <c r="E224" s="158">
        <v>50086</v>
      </c>
      <c r="F224" s="177">
        <v>6.0999999999999999E-2</v>
      </c>
      <c r="G224" s="166">
        <v>6.8199999999999997E-2</v>
      </c>
      <c r="H224" s="166">
        <v>7.1999999999999995E-2</v>
      </c>
      <c r="I224" s="175">
        <v>0</v>
      </c>
      <c r="J224" s="166">
        <v>0</v>
      </c>
      <c r="K224" s="256">
        <v>723000</v>
      </c>
      <c r="L224" s="256">
        <v>0</v>
      </c>
      <c r="M224" s="170">
        <f t="shared" si="41"/>
        <v>0</v>
      </c>
    </row>
    <row r="225" spans="1:13" s="1" customFormat="1" ht="12.75" customHeight="1" outlineLevel="1" x14ac:dyDescent="0.2">
      <c r="A225" s="181"/>
      <c r="B225" s="156"/>
      <c r="C225" s="182"/>
      <c r="D225" s="2" t="s">
        <v>152</v>
      </c>
      <c r="E225" s="158">
        <v>51697</v>
      </c>
      <c r="F225" s="177">
        <v>6.6250000000000003E-2</v>
      </c>
      <c r="G225" s="166">
        <v>6.88E-2</v>
      </c>
      <c r="H225" s="166">
        <v>7.0999999999999994E-2</v>
      </c>
      <c r="I225" s="175">
        <v>0</v>
      </c>
      <c r="J225" s="166">
        <v>0</v>
      </c>
      <c r="K225" s="256">
        <v>192500</v>
      </c>
      <c r="L225" s="256">
        <v>0</v>
      </c>
      <c r="M225" s="170">
        <f t="shared" si="41"/>
        <v>0</v>
      </c>
    </row>
    <row r="226" spans="1:13" s="1" customFormat="1" ht="12.75" customHeight="1" outlineLevel="1" x14ac:dyDescent="0.2">
      <c r="A226" s="181"/>
      <c r="B226" s="156"/>
      <c r="C226" s="182"/>
      <c r="D226" s="172" t="s">
        <v>142</v>
      </c>
      <c r="E226" s="158">
        <v>54772</v>
      </c>
      <c r="F226" s="166">
        <v>6.8750000000000006E-2</v>
      </c>
      <c r="G226" s="166">
        <v>7.0000000000000007E-2</v>
      </c>
      <c r="H226" s="166">
        <v>7.4999999999999997E-2</v>
      </c>
      <c r="I226" s="175">
        <v>7.0864499999999997E-2</v>
      </c>
      <c r="J226" s="175">
        <v>7.1800000000000003E-2</v>
      </c>
      <c r="K226" s="256">
        <v>5519500</v>
      </c>
      <c r="L226" s="256">
        <v>4800000</v>
      </c>
      <c r="M226" s="170">
        <f t="shared" si="41"/>
        <v>1.1498958333333333</v>
      </c>
    </row>
    <row r="227" spans="1:13" s="1" customFormat="1" ht="12.75" customHeight="1" outlineLevel="1" x14ac:dyDescent="0.2">
      <c r="A227" s="315" t="s">
        <v>121</v>
      </c>
      <c r="B227" s="316"/>
      <c r="C227" s="316"/>
      <c r="D227" s="316"/>
      <c r="E227" s="316"/>
      <c r="F227" s="316"/>
      <c r="G227" s="316"/>
      <c r="H227" s="316"/>
      <c r="I227" s="316"/>
      <c r="J227" s="317"/>
      <c r="K227" s="255">
        <f>SUM(K220:K226)</f>
        <v>16501000</v>
      </c>
      <c r="L227" s="255">
        <f>SUM(L220:L226)</f>
        <v>8100000</v>
      </c>
      <c r="M227" s="165"/>
    </row>
    <row r="228" spans="1:13" ht="12" customHeight="1" outlineLevel="1" x14ac:dyDescent="0.2">
      <c r="A228" s="198">
        <v>45440</v>
      </c>
      <c r="B228" s="215">
        <v>45442</v>
      </c>
      <c r="C228" s="199" t="s">
        <v>136</v>
      </c>
      <c r="D228" s="184" t="s">
        <v>205</v>
      </c>
      <c r="E228" s="185">
        <v>45532</v>
      </c>
      <c r="F228" s="186" t="s">
        <v>128</v>
      </c>
      <c r="G228" s="202">
        <v>6.5000000000000002E-2</v>
      </c>
      <c r="H228" s="202">
        <v>6.6500000000000004E-2</v>
      </c>
      <c r="I228" s="194">
        <v>6.5681600000000007E-2</v>
      </c>
      <c r="J228" s="194">
        <v>6.6000000000000003E-2</v>
      </c>
      <c r="K228" s="216">
        <v>2461000</v>
      </c>
      <c r="L228" s="216">
        <v>250000</v>
      </c>
      <c r="M228" s="188">
        <f t="shared" ref="M228:M229" si="42">IF(L228=0,0,K228/L228)</f>
        <v>9.8439999999999994</v>
      </c>
    </row>
    <row r="229" spans="1:13" ht="12" customHeight="1" outlineLevel="1" x14ac:dyDescent="0.2">
      <c r="A229" s="198"/>
      <c r="B229" s="183"/>
      <c r="C229" s="199"/>
      <c r="D229" s="184" t="s">
        <v>206</v>
      </c>
      <c r="E229" s="185">
        <v>45806</v>
      </c>
      <c r="F229" s="186" t="s">
        <v>128</v>
      </c>
      <c r="G229" s="186">
        <v>6.7699999999999996E-2</v>
      </c>
      <c r="H229" s="186">
        <v>6.93E-2</v>
      </c>
      <c r="I229" s="202">
        <v>6.7949999999999997E-2</v>
      </c>
      <c r="J229" s="203">
        <v>6.8199999999999997E-2</v>
      </c>
      <c r="K229" s="216">
        <v>4193000</v>
      </c>
      <c r="L229" s="216">
        <v>400000</v>
      </c>
      <c r="M229" s="188">
        <f t="shared" si="42"/>
        <v>10.4825</v>
      </c>
    </row>
    <row r="230" spans="1:13" ht="12.75" customHeight="1" outlineLevel="1" x14ac:dyDescent="0.2">
      <c r="A230" s="198"/>
      <c r="B230" s="185"/>
      <c r="C230" s="199"/>
      <c r="D230" s="184" t="s">
        <v>141</v>
      </c>
      <c r="E230" s="185">
        <v>47223</v>
      </c>
      <c r="F230" s="186">
        <v>6.8750000000000006E-2</v>
      </c>
      <c r="G230" s="186">
        <v>6.8599999999999994E-2</v>
      </c>
      <c r="H230" s="186">
        <v>7.0999999999999994E-2</v>
      </c>
      <c r="I230" s="187">
        <v>6.8898500000000001E-2</v>
      </c>
      <c r="J230" s="195">
        <v>6.9099999999999995E-2</v>
      </c>
      <c r="K230" s="216">
        <v>14734000</v>
      </c>
      <c r="L230" s="216">
        <v>6950000</v>
      </c>
      <c r="M230" s="188">
        <f>IF(L230=0,0,K230/L230)</f>
        <v>2.12</v>
      </c>
    </row>
    <row r="231" spans="1:13" ht="12.75" customHeight="1" outlineLevel="1" x14ac:dyDescent="0.2">
      <c r="A231" s="191"/>
      <c r="B231" s="189"/>
      <c r="C231" s="192"/>
      <c r="D231" s="184" t="s">
        <v>162</v>
      </c>
      <c r="E231" s="185">
        <v>47771</v>
      </c>
      <c r="F231" s="186">
        <v>7.3749999999999996E-2</v>
      </c>
      <c r="G231" s="186">
        <v>6.8099999999999994E-2</v>
      </c>
      <c r="H231" s="186">
        <v>7.1499999999999994E-2</v>
      </c>
      <c r="I231" s="202">
        <v>6.8593299999999996E-2</v>
      </c>
      <c r="J231" s="202">
        <v>6.9000000000000006E-2</v>
      </c>
      <c r="K231" s="216">
        <v>1628000</v>
      </c>
      <c r="L231" s="219">
        <v>850000</v>
      </c>
      <c r="M231" s="188">
        <f t="shared" ref="M231" si="43">IF(L231=0,0,K231/L231)</f>
        <v>1.9152941176470588</v>
      </c>
    </row>
    <row r="232" spans="1:13" ht="12.75" customHeight="1" outlineLevel="1" x14ac:dyDescent="0.2">
      <c r="A232" s="191"/>
      <c r="B232" s="189"/>
      <c r="C232" s="192"/>
      <c r="D232" s="184" t="s">
        <v>140</v>
      </c>
      <c r="E232" s="185">
        <v>48990</v>
      </c>
      <c r="F232" s="186">
        <v>6.6250000000000003E-2</v>
      </c>
      <c r="G232" s="186">
        <v>6.8400000000000002E-2</v>
      </c>
      <c r="H232" s="186">
        <v>7.0999999999999994E-2</v>
      </c>
      <c r="I232" s="196">
        <v>6.9195699999999999E-2</v>
      </c>
      <c r="J232" s="197">
        <v>6.9400000000000003E-2</v>
      </c>
      <c r="K232" s="216">
        <v>14083600</v>
      </c>
      <c r="L232" s="216">
        <v>9400000</v>
      </c>
      <c r="M232" s="188">
        <f>IF(L232=0,0,K232/L232)</f>
        <v>1.4982553191489361</v>
      </c>
    </row>
    <row r="233" spans="1:13" ht="12.75" customHeight="1" outlineLevel="1" x14ac:dyDescent="0.2">
      <c r="A233" s="191"/>
      <c r="B233" s="189"/>
      <c r="C233" s="192"/>
      <c r="D233" s="184" t="s">
        <v>138</v>
      </c>
      <c r="E233" s="185">
        <v>50571</v>
      </c>
      <c r="F233" s="186">
        <v>7.1249999999999994E-2</v>
      </c>
      <c r="G233" s="186">
        <v>6.9500000000000006E-2</v>
      </c>
      <c r="H233" s="186">
        <v>7.1800000000000003E-2</v>
      </c>
      <c r="I233" s="187">
        <v>6.9798200000000005E-2</v>
      </c>
      <c r="J233" s="197">
        <v>6.9900000000000004E-2</v>
      </c>
      <c r="K233" s="216">
        <v>3297100</v>
      </c>
      <c r="L233" s="216">
        <v>750000</v>
      </c>
      <c r="M233" s="188">
        <f>IF(L233=0,0,K233/L233)</f>
        <v>4.3961333333333332</v>
      </c>
    </row>
    <row r="234" spans="1:13" ht="12.75" customHeight="1" outlineLevel="1" x14ac:dyDescent="0.2">
      <c r="A234" s="191"/>
      <c r="B234" s="189"/>
      <c r="C234" s="192"/>
      <c r="D234" s="184" t="s">
        <v>137</v>
      </c>
      <c r="E234" s="185">
        <v>52397</v>
      </c>
      <c r="F234" s="186">
        <v>7.1249999999999994E-2</v>
      </c>
      <c r="G234" s="186">
        <v>6.9800000000000001E-2</v>
      </c>
      <c r="H234" s="186">
        <v>7.1499999999999994E-2</v>
      </c>
      <c r="I234" s="187">
        <v>7.0195999999999995E-2</v>
      </c>
      <c r="J234" s="195">
        <v>7.0400000000000004E-2</v>
      </c>
      <c r="K234" s="220">
        <v>3981900</v>
      </c>
      <c r="L234" s="220">
        <v>2050000</v>
      </c>
      <c r="M234" s="188">
        <f>IF(L234=0,0,K234/L234)</f>
        <v>1.942390243902439</v>
      </c>
    </row>
    <row r="235" spans="1:13" ht="12.75" customHeight="1" outlineLevel="1" x14ac:dyDescent="0.2">
      <c r="A235" s="191"/>
      <c r="B235" s="200"/>
      <c r="C235" s="192"/>
      <c r="D235" s="184" t="s">
        <v>146</v>
      </c>
      <c r="E235" s="185">
        <v>56445</v>
      </c>
      <c r="F235" s="186">
        <v>6.8750000000000006E-2</v>
      </c>
      <c r="G235" s="186">
        <v>6.9800000000000001E-2</v>
      </c>
      <c r="H235" s="186">
        <v>7.1499999999999994E-2</v>
      </c>
      <c r="I235" s="197">
        <v>7.0294300000000004E-2</v>
      </c>
      <c r="J235" s="196">
        <v>7.0499999999999993E-2</v>
      </c>
      <c r="K235" s="220">
        <v>2736100</v>
      </c>
      <c r="L235" s="220">
        <v>1350000</v>
      </c>
      <c r="M235" s="201">
        <f>IF(L235=0,0,K235/L235)</f>
        <v>2.026740740740741</v>
      </c>
    </row>
    <row r="236" spans="1:13" s="1" customFormat="1" ht="12.75" customHeight="1" outlineLevel="1" x14ac:dyDescent="0.2">
      <c r="A236" s="321" t="s">
        <v>121</v>
      </c>
      <c r="B236" s="322"/>
      <c r="C236" s="323"/>
      <c r="D236" s="323"/>
      <c r="E236" s="323"/>
      <c r="F236" s="323"/>
      <c r="G236" s="323"/>
      <c r="H236" s="323"/>
      <c r="I236" s="323"/>
      <c r="J236" s="324"/>
      <c r="K236" s="190">
        <f>SUM(K228:K235)</f>
        <v>47114700</v>
      </c>
      <c r="L236" s="190">
        <f>SUM(L228:L235)</f>
        <v>22000000</v>
      </c>
      <c r="M236" s="193"/>
    </row>
    <row r="237" spans="1:13" x14ac:dyDescent="0.2">
      <c r="A237" s="318" t="s">
        <v>202</v>
      </c>
      <c r="B237" s="319"/>
      <c r="C237" s="319"/>
      <c r="D237" s="319"/>
      <c r="E237" s="319"/>
      <c r="F237" s="319"/>
      <c r="G237" s="319"/>
      <c r="H237" s="319"/>
      <c r="I237" s="319"/>
      <c r="J237" s="320"/>
      <c r="K237" s="173">
        <f>K188+K196+K204+K236+K227+K219+K180</f>
        <v>199706620</v>
      </c>
      <c r="L237" s="173">
        <f>L188+L196+L204+L236+L227+L219+L180</f>
        <v>100464120</v>
      </c>
      <c r="M237" s="165"/>
    </row>
    <row r="238" spans="1:13" x14ac:dyDescent="0.2">
      <c r="A238" s="318" t="s">
        <v>207</v>
      </c>
      <c r="B238" s="319"/>
      <c r="C238" s="319"/>
      <c r="D238" s="319"/>
      <c r="E238" s="319"/>
      <c r="F238" s="319"/>
      <c r="G238" s="319"/>
      <c r="H238" s="319"/>
      <c r="I238" s="319"/>
      <c r="J238" s="320"/>
      <c r="K238" s="173">
        <f>K178+K237</f>
        <v>900261272</v>
      </c>
      <c r="L238" s="173">
        <f>L178+L237</f>
        <v>458655972</v>
      </c>
      <c r="M238" s="165"/>
    </row>
    <row r="239" spans="1:13" x14ac:dyDescent="0.2">
      <c r="A239" s="164">
        <v>45447</v>
      </c>
      <c r="B239" s="164">
        <v>45388</v>
      </c>
      <c r="C239" s="160" t="s">
        <v>136</v>
      </c>
      <c r="D239" s="172" t="s">
        <v>187</v>
      </c>
      <c r="E239" s="158">
        <v>45628</v>
      </c>
      <c r="F239" s="166" t="s">
        <v>128</v>
      </c>
      <c r="G239" s="258">
        <v>6.5000000000000002E-2</v>
      </c>
      <c r="H239" s="166">
        <v>6.6000000000000003E-2</v>
      </c>
      <c r="I239" s="166">
        <v>6.5887500000000002E-2</v>
      </c>
      <c r="J239" s="166">
        <v>6.6000000000000003E-2</v>
      </c>
      <c r="K239" s="256">
        <v>2204500</v>
      </c>
      <c r="L239" s="257">
        <v>800000</v>
      </c>
      <c r="M239" s="170">
        <f>IF(L239=0,0,K239/L239)</f>
        <v>2.7556250000000002</v>
      </c>
    </row>
    <row r="240" spans="1:13" x14ac:dyDescent="0.2">
      <c r="A240" s="164"/>
      <c r="B240" s="164"/>
      <c r="C240" s="160"/>
      <c r="D240" s="172" t="s">
        <v>209</v>
      </c>
      <c r="E240" s="158">
        <v>45719</v>
      </c>
      <c r="F240" s="166" t="s">
        <v>128</v>
      </c>
      <c r="G240" s="166">
        <v>6.6799999999999998E-2</v>
      </c>
      <c r="H240" s="166">
        <v>6.8500000000000005E-2</v>
      </c>
      <c r="I240" s="178">
        <v>6.7857700000000007E-2</v>
      </c>
      <c r="J240" s="180">
        <v>6.8000000000000005E-2</v>
      </c>
      <c r="K240" s="256">
        <v>3733000</v>
      </c>
      <c r="L240" s="257">
        <v>2350000</v>
      </c>
      <c r="M240" s="170">
        <f t="shared" ref="M240:M245" si="44">IF(L240=0,0,K240/L240)</f>
        <v>1.5885106382978724</v>
      </c>
    </row>
    <row r="241" spans="1:13" x14ac:dyDescent="0.2">
      <c r="A241" s="164"/>
      <c r="B241" s="158"/>
      <c r="C241" s="160"/>
      <c r="D241" s="172" t="s">
        <v>150</v>
      </c>
      <c r="E241" s="158">
        <v>46218</v>
      </c>
      <c r="F241" s="166">
        <v>4.8750000000000002E-2</v>
      </c>
      <c r="G241" s="166">
        <v>6.8099999999999994E-2</v>
      </c>
      <c r="H241" s="166">
        <v>7.0000000000000007E-2</v>
      </c>
      <c r="I241" s="175">
        <v>6.8526799999999999E-2</v>
      </c>
      <c r="J241" s="180">
        <v>6.8699999999999997E-2</v>
      </c>
      <c r="K241" s="256">
        <v>9117000</v>
      </c>
      <c r="L241" s="256">
        <v>2400000</v>
      </c>
      <c r="M241" s="170">
        <f t="shared" si="44"/>
        <v>3.7987500000000001</v>
      </c>
    </row>
    <row r="242" spans="1:13" x14ac:dyDescent="0.2">
      <c r="A242" s="156"/>
      <c r="B242" s="156"/>
      <c r="C242" s="156"/>
      <c r="D242" s="2" t="s">
        <v>151</v>
      </c>
      <c r="E242" s="158">
        <v>46949</v>
      </c>
      <c r="F242" s="177">
        <v>5.8749999999999997E-2</v>
      </c>
      <c r="G242" s="166">
        <v>6.7299999999999999E-2</v>
      </c>
      <c r="H242" s="166">
        <v>7.0000000000000007E-2</v>
      </c>
      <c r="I242" s="175">
        <v>6.8076700000000004E-2</v>
      </c>
      <c r="J242" s="166">
        <v>6.8099999999999994E-2</v>
      </c>
      <c r="K242" s="256">
        <v>1358000</v>
      </c>
      <c r="L242" s="256">
        <v>150000</v>
      </c>
      <c r="M242" s="170">
        <f t="shared" si="44"/>
        <v>9.0533333333333328</v>
      </c>
    </row>
    <row r="243" spans="1:13" x14ac:dyDescent="0.2">
      <c r="A243" s="156"/>
      <c r="B243" s="156"/>
      <c r="C243" s="156"/>
      <c r="D243" s="172" t="s">
        <v>139</v>
      </c>
      <c r="E243" s="158">
        <v>47376</v>
      </c>
      <c r="F243" s="166">
        <v>6.6250000000000003E-2</v>
      </c>
      <c r="G243" s="166">
        <v>6.6900000000000001E-2</v>
      </c>
      <c r="H243" s="166">
        <v>6.9500000000000006E-2</v>
      </c>
      <c r="I243" s="175">
        <v>6.7898200000000006E-2</v>
      </c>
      <c r="J243" s="175">
        <v>6.8400000000000002E-2</v>
      </c>
      <c r="K243" s="256">
        <v>3273000</v>
      </c>
      <c r="L243" s="256">
        <v>2600000</v>
      </c>
      <c r="M243" s="170">
        <f t="shared" si="44"/>
        <v>1.2588461538461539</v>
      </c>
    </row>
    <row r="244" spans="1:13" x14ac:dyDescent="0.2">
      <c r="A244" s="156"/>
      <c r="B244" s="156"/>
      <c r="C244" s="156"/>
      <c r="D244" s="172" t="s">
        <v>53</v>
      </c>
      <c r="E244" s="158">
        <v>50086</v>
      </c>
      <c r="F244" s="166">
        <v>6.0999999999999999E-2</v>
      </c>
      <c r="G244" s="166">
        <v>6.8000000000000005E-2</v>
      </c>
      <c r="H244" s="166">
        <v>7.1999999999999995E-2</v>
      </c>
      <c r="I244" s="175">
        <v>6.8798600000000001E-2</v>
      </c>
      <c r="J244" s="175">
        <v>6.9000000000000006E-2</v>
      </c>
      <c r="K244" s="256">
        <v>772000</v>
      </c>
      <c r="L244" s="256">
        <v>300000</v>
      </c>
      <c r="M244" s="170">
        <f t="shared" si="44"/>
        <v>2.5733333333333333</v>
      </c>
    </row>
    <row r="245" spans="1:13" x14ac:dyDescent="0.2">
      <c r="A245" s="181"/>
      <c r="B245" s="156"/>
      <c r="C245" s="182"/>
      <c r="D245" s="172" t="s">
        <v>142</v>
      </c>
      <c r="E245" s="158">
        <v>54772</v>
      </c>
      <c r="F245" s="166">
        <v>6.8750000000000006E-2</v>
      </c>
      <c r="G245" s="166">
        <v>7.0900000000000005E-2</v>
      </c>
      <c r="H245" s="166">
        <v>7.2999999999999995E-2</v>
      </c>
      <c r="I245" s="175">
        <v>7.1099099999999998E-2</v>
      </c>
      <c r="J245" s="175">
        <v>7.1199999999999999E-2</v>
      </c>
      <c r="K245" s="256">
        <v>5750000</v>
      </c>
      <c r="L245" s="256">
        <v>1400000</v>
      </c>
      <c r="M245" s="170">
        <f t="shared" si="44"/>
        <v>4.1071428571428568</v>
      </c>
    </row>
    <row r="246" spans="1:13" x14ac:dyDescent="0.2">
      <c r="A246" s="315" t="s">
        <v>121</v>
      </c>
      <c r="B246" s="316"/>
      <c r="C246" s="316"/>
      <c r="D246" s="316"/>
      <c r="E246" s="316"/>
      <c r="F246" s="316"/>
      <c r="G246" s="316"/>
      <c r="H246" s="316"/>
      <c r="I246" s="316"/>
      <c r="J246" s="317"/>
      <c r="K246" s="255">
        <f>SUM(K239:K245)</f>
        <v>26207500</v>
      </c>
      <c r="L246" s="255">
        <f>SUM(L239:L245)</f>
        <v>10000000</v>
      </c>
      <c r="M246" s="165"/>
    </row>
    <row r="247" spans="1:13" x14ac:dyDescent="0.2">
      <c r="A247" s="259">
        <v>45446</v>
      </c>
      <c r="B247" s="260">
        <v>45448</v>
      </c>
      <c r="C247" s="261" t="s">
        <v>155</v>
      </c>
      <c r="D247" s="172" t="s">
        <v>226</v>
      </c>
      <c r="E247" s="158">
        <v>46152</v>
      </c>
      <c r="F247" s="166">
        <v>6.4000000000000001E-2</v>
      </c>
      <c r="G247" s="178"/>
      <c r="H247" s="178"/>
      <c r="I247" s="262"/>
      <c r="J247" s="262"/>
      <c r="K247" s="256">
        <v>14569758</v>
      </c>
      <c r="L247" s="256">
        <v>14569758</v>
      </c>
      <c r="M247" s="264">
        <f t="shared" ref="M247:M248" si="45">IF(L247=0,0,K247/L247)</f>
        <v>1</v>
      </c>
    </row>
    <row r="248" spans="1:13" x14ac:dyDescent="0.2">
      <c r="A248" s="259"/>
      <c r="B248" s="273"/>
      <c r="C248" s="261"/>
      <c r="D248" s="172" t="s">
        <v>227</v>
      </c>
      <c r="E248" s="158">
        <v>46883</v>
      </c>
      <c r="F248" s="166">
        <v>6.5500000000000003E-2</v>
      </c>
      <c r="G248" s="166"/>
      <c r="H248" s="166"/>
      <c r="I248" s="178"/>
      <c r="J248" s="180"/>
      <c r="K248" s="256">
        <v>5076671</v>
      </c>
      <c r="L248" s="256">
        <v>5076671</v>
      </c>
      <c r="M248" s="271">
        <f t="shared" si="45"/>
        <v>1</v>
      </c>
    </row>
    <row r="249" spans="1:13" x14ac:dyDescent="0.2">
      <c r="A249" s="315" t="s">
        <v>121</v>
      </c>
      <c r="B249" s="342"/>
      <c r="C249" s="316"/>
      <c r="D249" s="316"/>
      <c r="E249" s="316"/>
      <c r="F249" s="316"/>
      <c r="G249" s="316"/>
      <c r="H249" s="316"/>
      <c r="I249" s="316"/>
      <c r="J249" s="317"/>
      <c r="K249" s="176">
        <f>SUM(K247:K248)</f>
        <v>19646429</v>
      </c>
      <c r="L249" s="176">
        <f>SUM(L247:L248)</f>
        <v>19646429</v>
      </c>
      <c r="M249" s="272"/>
    </row>
    <row r="250" spans="1:13" ht="12" customHeight="1" outlineLevel="1" x14ac:dyDescent="0.2">
      <c r="A250" s="198">
        <v>45454</v>
      </c>
      <c r="B250" s="215">
        <v>45456</v>
      </c>
      <c r="C250" s="199" t="s">
        <v>136</v>
      </c>
      <c r="D250" s="184" t="s">
        <v>210</v>
      </c>
      <c r="E250" s="185">
        <v>45546</v>
      </c>
      <c r="F250" s="186" t="s">
        <v>128</v>
      </c>
      <c r="G250" s="202">
        <v>6.59E-2</v>
      </c>
      <c r="H250" s="202">
        <v>6.6000000000000003E-2</v>
      </c>
      <c r="I250" s="194">
        <v>6.59E-2</v>
      </c>
      <c r="J250" s="194">
        <v>6.59E-2</v>
      </c>
      <c r="K250" s="216">
        <v>2395000</v>
      </c>
      <c r="L250" s="216">
        <v>200000</v>
      </c>
      <c r="M250" s="188">
        <f t="shared" ref="M250:M251" si="46">IF(L250=0,0,K250/L250)</f>
        <v>11.975</v>
      </c>
    </row>
    <row r="251" spans="1:13" ht="12" customHeight="1" outlineLevel="1" x14ac:dyDescent="0.2">
      <c r="A251" s="198"/>
      <c r="B251" s="183"/>
      <c r="C251" s="199"/>
      <c r="D251" s="184" t="s">
        <v>211</v>
      </c>
      <c r="E251" s="185">
        <v>45820</v>
      </c>
      <c r="F251" s="186" t="s">
        <v>128</v>
      </c>
      <c r="G251" s="186">
        <v>6.8000000000000005E-2</v>
      </c>
      <c r="H251" s="186">
        <v>7.0000000000000007E-2</v>
      </c>
      <c r="I251" s="202">
        <v>6.8191399999999999E-2</v>
      </c>
      <c r="J251" s="203">
        <v>6.8400000000000002E-2</v>
      </c>
      <c r="K251" s="216">
        <v>4089000</v>
      </c>
      <c r="L251" s="216">
        <v>1000000</v>
      </c>
      <c r="M251" s="188">
        <f t="shared" si="46"/>
        <v>4.0890000000000004</v>
      </c>
    </row>
    <row r="252" spans="1:13" ht="12.75" customHeight="1" outlineLevel="1" x14ac:dyDescent="0.2">
      <c r="A252" s="198"/>
      <c r="B252" s="185"/>
      <c r="C252" s="199"/>
      <c r="D252" s="184" t="s">
        <v>141</v>
      </c>
      <c r="E252" s="185">
        <v>47223</v>
      </c>
      <c r="F252" s="186">
        <v>6.8750000000000006E-2</v>
      </c>
      <c r="G252" s="186">
        <v>6.9099999999999995E-2</v>
      </c>
      <c r="H252" s="186">
        <v>7.1999999999999995E-2</v>
      </c>
      <c r="I252" s="187">
        <v>6.94998E-2</v>
      </c>
      <c r="J252" s="195">
        <v>6.9800000000000001E-2</v>
      </c>
      <c r="K252" s="216">
        <v>13257600</v>
      </c>
      <c r="L252" s="216">
        <v>7700000</v>
      </c>
      <c r="M252" s="188">
        <f>IF(L252=0,0,K252/L252)</f>
        <v>1.7217662337662338</v>
      </c>
    </row>
    <row r="253" spans="1:13" ht="12.75" customHeight="1" outlineLevel="1" x14ac:dyDescent="0.2">
      <c r="A253" s="191"/>
      <c r="B253" s="189"/>
      <c r="C253" s="192"/>
      <c r="D253" s="184" t="s">
        <v>140</v>
      </c>
      <c r="E253" s="185">
        <v>48990</v>
      </c>
      <c r="F253" s="186">
        <v>6.6250000000000003E-2</v>
      </c>
      <c r="G253" s="186">
        <v>6.9699999999999998E-2</v>
      </c>
      <c r="H253" s="186">
        <v>7.1499999999999994E-2</v>
      </c>
      <c r="I253" s="196">
        <v>7.0199300000000006E-2</v>
      </c>
      <c r="J253" s="197">
        <v>7.0499999999999993E-2</v>
      </c>
      <c r="K253" s="216">
        <v>12450300</v>
      </c>
      <c r="L253" s="216">
        <v>7800000</v>
      </c>
      <c r="M253" s="188">
        <f>IF(L253=0,0,K253/L253)</f>
        <v>1.5961923076923077</v>
      </c>
    </row>
    <row r="254" spans="1:13" ht="12.75" customHeight="1" outlineLevel="1" x14ac:dyDescent="0.2">
      <c r="A254" s="191"/>
      <c r="B254" s="189"/>
      <c r="C254" s="192"/>
      <c r="D254" s="184" t="s">
        <v>138</v>
      </c>
      <c r="E254" s="185">
        <v>50571</v>
      </c>
      <c r="F254" s="186">
        <v>7.1249999999999994E-2</v>
      </c>
      <c r="G254" s="186">
        <v>6.9900000000000004E-2</v>
      </c>
      <c r="H254" s="186">
        <v>7.1800000000000003E-2</v>
      </c>
      <c r="I254" s="187">
        <v>7.0396399999999998E-2</v>
      </c>
      <c r="J254" s="197">
        <v>7.0599999999999996E-2</v>
      </c>
      <c r="K254" s="216">
        <v>4358600</v>
      </c>
      <c r="L254" s="216">
        <v>2150000</v>
      </c>
      <c r="M254" s="188">
        <f>IF(L254=0,0,K254/L254)</f>
        <v>2.0272558139534884</v>
      </c>
    </row>
    <row r="255" spans="1:13" ht="12.75" customHeight="1" outlineLevel="1" x14ac:dyDescent="0.2">
      <c r="A255" s="191"/>
      <c r="B255" s="189"/>
      <c r="C255" s="192"/>
      <c r="D255" s="184" t="s">
        <v>137</v>
      </c>
      <c r="E255" s="185">
        <v>52397</v>
      </c>
      <c r="F255" s="186">
        <v>7.1249999999999994E-2</v>
      </c>
      <c r="G255" s="186">
        <v>7.0499999999999993E-2</v>
      </c>
      <c r="H255" s="186">
        <v>7.1800000000000003E-2</v>
      </c>
      <c r="I255" s="187">
        <v>7.0598599999999997E-2</v>
      </c>
      <c r="J255" s="195">
        <v>7.0699999999999999E-2</v>
      </c>
      <c r="K255" s="220">
        <v>3922500</v>
      </c>
      <c r="L255" s="220">
        <v>1250000</v>
      </c>
      <c r="M255" s="188">
        <f>IF(L255=0,0,K255/L255)</f>
        <v>3.1379999999999999</v>
      </c>
    </row>
    <row r="256" spans="1:13" ht="12.75" customHeight="1" outlineLevel="1" x14ac:dyDescent="0.2">
      <c r="A256" s="191"/>
      <c r="B256" s="200"/>
      <c r="C256" s="192"/>
      <c r="D256" s="184" t="s">
        <v>146</v>
      </c>
      <c r="E256" s="185">
        <v>56445</v>
      </c>
      <c r="F256" s="186">
        <v>6.8750000000000006E-2</v>
      </c>
      <c r="G256" s="186">
        <v>7.0199999999999999E-2</v>
      </c>
      <c r="H256" s="186">
        <v>7.1999999999999995E-2</v>
      </c>
      <c r="I256" s="197">
        <v>7.0595900000000003E-2</v>
      </c>
      <c r="J256" s="196">
        <v>7.1199999999999999E-2</v>
      </c>
      <c r="K256" s="220">
        <v>2488200</v>
      </c>
      <c r="L256" s="220">
        <v>1900000</v>
      </c>
      <c r="M256" s="201">
        <f>IF(L256=0,0,K256/L256)</f>
        <v>1.309578947368421</v>
      </c>
    </row>
    <row r="257" spans="1:13" s="1" customFormat="1" ht="12.75" customHeight="1" outlineLevel="1" x14ac:dyDescent="0.2">
      <c r="A257" s="321" t="s">
        <v>121</v>
      </c>
      <c r="B257" s="322"/>
      <c r="C257" s="323"/>
      <c r="D257" s="323"/>
      <c r="E257" s="323"/>
      <c r="F257" s="323"/>
      <c r="G257" s="323"/>
      <c r="H257" s="323"/>
      <c r="I257" s="323"/>
      <c r="J257" s="324"/>
      <c r="K257" s="190">
        <f>SUM(K250:K256)</f>
        <v>42961200</v>
      </c>
      <c r="L257" s="190">
        <f>SUM(L250:L256)</f>
        <v>22000000</v>
      </c>
      <c r="M257" s="193"/>
    </row>
    <row r="258" spans="1:13" s="1" customFormat="1" ht="12.75" customHeight="1" outlineLevel="1" x14ac:dyDescent="0.2">
      <c r="A258" s="164">
        <v>45462</v>
      </c>
      <c r="B258" s="164">
        <v>45464</v>
      </c>
      <c r="C258" s="160" t="s">
        <v>136</v>
      </c>
      <c r="D258" s="172" t="s">
        <v>187</v>
      </c>
      <c r="E258" s="158">
        <v>45628</v>
      </c>
      <c r="F258" s="166" t="s">
        <v>128</v>
      </c>
      <c r="G258" s="258">
        <v>6.7000000000000004E-2</v>
      </c>
      <c r="H258" s="166">
        <v>6.8500000000000005E-2</v>
      </c>
      <c r="I258" s="166">
        <v>6.7924999999999999E-2</v>
      </c>
      <c r="J258" s="166">
        <v>6.8000000000000005E-2</v>
      </c>
      <c r="K258" s="256">
        <v>2170000</v>
      </c>
      <c r="L258" s="257">
        <v>200000</v>
      </c>
      <c r="M258" s="170">
        <f>IF(L258=0,0,K258/L258)</f>
        <v>10.85</v>
      </c>
    </row>
    <row r="259" spans="1:13" s="1" customFormat="1" ht="12.75" customHeight="1" outlineLevel="1" x14ac:dyDescent="0.2">
      <c r="A259" s="164"/>
      <c r="B259" s="164"/>
      <c r="C259" s="160"/>
      <c r="D259" s="172" t="s">
        <v>209</v>
      </c>
      <c r="E259" s="158">
        <v>45719</v>
      </c>
      <c r="F259" s="166" t="s">
        <v>128</v>
      </c>
      <c r="G259" s="166">
        <v>6.8000000000000005E-2</v>
      </c>
      <c r="H259" s="166">
        <v>6.9800000000000001E-2</v>
      </c>
      <c r="I259" s="178">
        <v>6.8738400000000005E-2</v>
      </c>
      <c r="J259" s="180">
        <v>6.9500000000000006E-2</v>
      </c>
      <c r="K259" s="256">
        <v>3368000</v>
      </c>
      <c r="L259" s="257">
        <v>1000000</v>
      </c>
      <c r="M259" s="170">
        <f t="shared" ref="M259:M264" si="47">IF(L259=0,0,K259/L259)</f>
        <v>3.3679999999999999</v>
      </c>
    </row>
    <row r="260" spans="1:13" s="1" customFormat="1" ht="12.75" customHeight="1" outlineLevel="1" x14ac:dyDescent="0.2">
      <c r="A260" s="164"/>
      <c r="B260" s="158"/>
      <c r="C260" s="160"/>
      <c r="D260" s="172" t="s">
        <v>150</v>
      </c>
      <c r="E260" s="158">
        <v>46218</v>
      </c>
      <c r="F260" s="166">
        <v>4.8750000000000002E-2</v>
      </c>
      <c r="G260" s="166">
        <v>6.88E-2</v>
      </c>
      <c r="H260" s="166">
        <v>7.1599999999999997E-2</v>
      </c>
      <c r="I260" s="175">
        <v>6.9415500000000005E-2</v>
      </c>
      <c r="J260" s="180">
        <v>7.0000000000000007E-2</v>
      </c>
      <c r="K260" s="256">
        <v>5497500</v>
      </c>
      <c r="L260" s="256">
        <v>3500000</v>
      </c>
      <c r="M260" s="170">
        <f t="shared" si="47"/>
        <v>1.5707142857142857</v>
      </c>
    </row>
    <row r="261" spans="1:13" s="1" customFormat="1" ht="12.75" customHeight="1" outlineLevel="1" x14ac:dyDescent="0.2">
      <c r="A261" s="156"/>
      <c r="B261" s="156"/>
      <c r="C261" s="156"/>
      <c r="D261" s="2" t="s">
        <v>151</v>
      </c>
      <c r="E261" s="158">
        <v>46949</v>
      </c>
      <c r="F261" s="177">
        <v>5.8749999999999997E-2</v>
      </c>
      <c r="G261" s="166">
        <v>6.93E-2</v>
      </c>
      <c r="H261" s="166">
        <v>7.0999999999999994E-2</v>
      </c>
      <c r="I261" s="175">
        <v>6.9997000000000004E-2</v>
      </c>
      <c r="J261" s="166">
        <v>7.0300000000000001E-2</v>
      </c>
      <c r="K261" s="256">
        <v>1301000</v>
      </c>
      <c r="L261" s="256">
        <v>800000</v>
      </c>
      <c r="M261" s="170">
        <f t="shared" si="47"/>
        <v>1.62625</v>
      </c>
    </row>
    <row r="262" spans="1:13" s="1" customFormat="1" ht="12.75" customHeight="1" outlineLevel="1" x14ac:dyDescent="0.2">
      <c r="A262" s="181"/>
      <c r="B262" s="156"/>
      <c r="C262" s="182"/>
      <c r="D262" s="2" t="s">
        <v>53</v>
      </c>
      <c r="E262" s="158">
        <v>50086</v>
      </c>
      <c r="F262" s="177">
        <v>6.0999999999999999E-2</v>
      </c>
      <c r="G262" s="166">
        <v>6.9199999999999998E-2</v>
      </c>
      <c r="H262" s="166">
        <v>7.3499999999999996E-2</v>
      </c>
      <c r="I262" s="175">
        <v>6.9925699999999993E-2</v>
      </c>
      <c r="J262" s="166">
        <v>7.0000000000000007E-2</v>
      </c>
      <c r="K262" s="256">
        <v>422600</v>
      </c>
      <c r="L262" s="256">
        <v>100000</v>
      </c>
      <c r="M262" s="170">
        <f t="shared" si="47"/>
        <v>4.226</v>
      </c>
    </row>
    <row r="263" spans="1:13" s="1" customFormat="1" ht="12.75" customHeight="1" outlineLevel="1" x14ac:dyDescent="0.2">
      <c r="A263" s="181"/>
      <c r="B263" s="156"/>
      <c r="C263" s="182"/>
      <c r="D263" s="2" t="s">
        <v>152</v>
      </c>
      <c r="E263" s="158">
        <v>51697</v>
      </c>
      <c r="F263" s="177">
        <v>6.6250000000000003E-2</v>
      </c>
      <c r="G263" s="166">
        <v>7.0000000000000007E-2</v>
      </c>
      <c r="H263" s="166">
        <v>7.1999999999999995E-2</v>
      </c>
      <c r="I263" s="175">
        <v>7.0253899999999994E-2</v>
      </c>
      <c r="J263" s="166">
        <v>7.0499999999999993E-2</v>
      </c>
      <c r="K263" s="256">
        <v>1134000</v>
      </c>
      <c r="L263" s="256">
        <v>1050000</v>
      </c>
      <c r="M263" s="170">
        <f t="shared" si="47"/>
        <v>1.08</v>
      </c>
    </row>
    <row r="264" spans="1:13" s="1" customFormat="1" ht="12.75" customHeight="1" outlineLevel="1" x14ac:dyDescent="0.2">
      <c r="A264" s="181"/>
      <c r="B264" s="156"/>
      <c r="C264" s="182"/>
      <c r="D264" s="172" t="s">
        <v>142</v>
      </c>
      <c r="E264" s="158">
        <v>54772</v>
      </c>
      <c r="F264" s="166">
        <v>6.8750000000000006E-2</v>
      </c>
      <c r="G264" s="166">
        <v>7.0800000000000002E-2</v>
      </c>
      <c r="H264" s="166">
        <v>7.3999999999999996E-2</v>
      </c>
      <c r="I264" s="175">
        <v>7.1799699999999994E-2</v>
      </c>
      <c r="J264" s="175">
        <v>7.2499999999999995E-2</v>
      </c>
      <c r="K264" s="256">
        <v>2444500</v>
      </c>
      <c r="L264" s="256">
        <v>1400000</v>
      </c>
      <c r="M264" s="170">
        <f t="shared" si="47"/>
        <v>1.7460714285714285</v>
      </c>
    </row>
    <row r="265" spans="1:13" s="1" customFormat="1" ht="12.75" customHeight="1" outlineLevel="1" x14ac:dyDescent="0.2">
      <c r="A265" s="315" t="s">
        <v>121</v>
      </c>
      <c r="B265" s="316"/>
      <c r="C265" s="316"/>
      <c r="D265" s="316"/>
      <c r="E265" s="316"/>
      <c r="F265" s="316"/>
      <c r="G265" s="316"/>
      <c r="H265" s="316"/>
      <c r="I265" s="316"/>
      <c r="J265" s="317"/>
      <c r="K265" s="255">
        <f>SUM(K258:K264)</f>
        <v>16337600</v>
      </c>
      <c r="L265" s="255">
        <f>SUM(L258:L264)</f>
        <v>8050000</v>
      </c>
      <c r="M265" s="165"/>
    </row>
    <row r="266" spans="1:13" ht="12" customHeight="1" outlineLevel="1" x14ac:dyDescent="0.2">
      <c r="A266" s="198">
        <v>45468</v>
      </c>
      <c r="B266" s="215">
        <v>45470</v>
      </c>
      <c r="C266" s="199" t="s">
        <v>136</v>
      </c>
      <c r="D266" s="184" t="s">
        <v>228</v>
      </c>
      <c r="E266" s="185">
        <v>45560</v>
      </c>
      <c r="F266" s="186" t="s">
        <v>128</v>
      </c>
      <c r="G266" s="202">
        <v>6.5799999999999997E-2</v>
      </c>
      <c r="H266" s="202">
        <v>6.6500000000000004E-2</v>
      </c>
      <c r="I266" s="194">
        <v>6.5857100000000002E-2</v>
      </c>
      <c r="J266" s="194">
        <v>6.59E-2</v>
      </c>
      <c r="K266" s="216">
        <v>2186000</v>
      </c>
      <c r="L266" s="216">
        <v>350000</v>
      </c>
      <c r="M266" s="188">
        <f t="shared" ref="M266:M267" si="48">IF(L266=0,0,K266/L266)</f>
        <v>6.2457142857142856</v>
      </c>
    </row>
    <row r="267" spans="1:13" ht="12" customHeight="1" outlineLevel="1" x14ac:dyDescent="0.2">
      <c r="A267" s="198"/>
      <c r="B267" s="183"/>
      <c r="C267" s="199"/>
      <c r="D267" s="184" t="s">
        <v>211</v>
      </c>
      <c r="E267" s="185">
        <v>45820</v>
      </c>
      <c r="F267" s="186" t="s">
        <v>128</v>
      </c>
      <c r="G267" s="186">
        <v>6.8699999999999997E-2</v>
      </c>
      <c r="H267" s="186">
        <v>7.0000000000000007E-2</v>
      </c>
      <c r="I267" s="202" t="s">
        <v>130</v>
      </c>
      <c r="J267" s="203" t="s">
        <v>130</v>
      </c>
      <c r="K267" s="216">
        <v>3155000</v>
      </c>
      <c r="L267" s="216">
        <v>0</v>
      </c>
      <c r="M267" s="188">
        <f t="shared" si="48"/>
        <v>0</v>
      </c>
    </row>
    <row r="268" spans="1:13" ht="12.75" customHeight="1" outlineLevel="1" x14ac:dyDescent="0.2">
      <c r="A268" s="198"/>
      <c r="B268" s="185"/>
      <c r="C268" s="199"/>
      <c r="D268" s="184" t="s">
        <v>141</v>
      </c>
      <c r="E268" s="185">
        <v>47223</v>
      </c>
      <c r="F268" s="186">
        <v>6.8750000000000006E-2</v>
      </c>
      <c r="G268" s="186">
        <v>6.9800000000000001E-2</v>
      </c>
      <c r="H268" s="186">
        <v>7.1499999999999994E-2</v>
      </c>
      <c r="I268" s="187">
        <v>6.9999199999999998E-2</v>
      </c>
      <c r="J268" s="195">
        <v>7.0099999999999996E-2</v>
      </c>
      <c r="K268" s="216">
        <v>15507000</v>
      </c>
      <c r="L268" s="216">
        <v>6700000</v>
      </c>
      <c r="M268" s="188">
        <f>IF(L268=0,0,K268/L268)</f>
        <v>2.3144776119402986</v>
      </c>
    </row>
    <row r="269" spans="1:13" ht="12.75" customHeight="1" outlineLevel="1" x14ac:dyDescent="0.2">
      <c r="A269" s="191"/>
      <c r="B269" s="189"/>
      <c r="C269" s="192"/>
      <c r="D269" s="184" t="s">
        <v>140</v>
      </c>
      <c r="E269" s="185">
        <v>48990</v>
      </c>
      <c r="F269" s="186">
        <v>6.6250000000000003E-2</v>
      </c>
      <c r="G269" s="186">
        <v>7.0699999999999999E-2</v>
      </c>
      <c r="H269" s="186">
        <v>7.2700000000000001E-2</v>
      </c>
      <c r="I269" s="196">
        <v>7.0909E-2</v>
      </c>
      <c r="J269" s="197">
        <v>7.1099999999999997E-2</v>
      </c>
      <c r="K269" s="216">
        <v>22634600</v>
      </c>
      <c r="L269" s="216">
        <v>9800000</v>
      </c>
      <c r="M269" s="188">
        <f>IF(L269=0,0,K269/L269)</f>
        <v>2.3096530612244899</v>
      </c>
    </row>
    <row r="270" spans="1:13" ht="12.75" customHeight="1" outlineLevel="1" x14ac:dyDescent="0.2">
      <c r="A270" s="191"/>
      <c r="B270" s="189"/>
      <c r="C270" s="192"/>
      <c r="D270" s="184" t="s">
        <v>138</v>
      </c>
      <c r="E270" s="185">
        <v>50571</v>
      </c>
      <c r="F270" s="186">
        <v>7.1249999999999994E-2</v>
      </c>
      <c r="G270" s="186">
        <v>7.0999999999999994E-2</v>
      </c>
      <c r="H270" s="186">
        <v>7.2499999999999995E-2</v>
      </c>
      <c r="I270" s="187">
        <v>7.1399099999999993E-2</v>
      </c>
      <c r="J270" s="197">
        <v>7.1499999999999994E-2</v>
      </c>
      <c r="K270" s="216">
        <v>6191700</v>
      </c>
      <c r="L270" s="216">
        <v>2550000</v>
      </c>
      <c r="M270" s="188">
        <f>IF(L270=0,0,K270/L270)</f>
        <v>2.4281176470588237</v>
      </c>
    </row>
    <row r="271" spans="1:13" ht="12.75" customHeight="1" outlineLevel="1" x14ac:dyDescent="0.2">
      <c r="A271" s="191"/>
      <c r="B271" s="189"/>
      <c r="C271" s="192"/>
      <c r="D271" s="184" t="s">
        <v>137</v>
      </c>
      <c r="E271" s="185">
        <v>52397</v>
      </c>
      <c r="F271" s="186">
        <v>7.1249999999999994E-2</v>
      </c>
      <c r="G271" s="186">
        <v>7.1300000000000002E-2</v>
      </c>
      <c r="H271" s="186">
        <v>7.2499999999999995E-2</v>
      </c>
      <c r="I271" s="187">
        <v>7.1599599999999999E-2</v>
      </c>
      <c r="J271" s="195">
        <v>7.1800000000000003E-2</v>
      </c>
      <c r="K271" s="220">
        <v>5363900</v>
      </c>
      <c r="L271" s="220">
        <v>3500000</v>
      </c>
      <c r="M271" s="188">
        <f>IF(L271=0,0,K271/L271)</f>
        <v>1.5325428571428572</v>
      </c>
    </row>
    <row r="272" spans="1:13" ht="12.75" customHeight="1" outlineLevel="1" x14ac:dyDescent="0.2">
      <c r="A272" s="191"/>
      <c r="B272" s="200"/>
      <c r="C272" s="192"/>
      <c r="D272" s="184" t="s">
        <v>146</v>
      </c>
      <c r="E272" s="185">
        <v>56445</v>
      </c>
      <c r="F272" s="186">
        <v>6.8750000000000006E-2</v>
      </c>
      <c r="G272" s="186">
        <v>7.1499999999999994E-2</v>
      </c>
      <c r="H272" s="186">
        <v>7.2999999999999995E-2</v>
      </c>
      <c r="I272" s="197">
        <v>7.1685700000000005E-2</v>
      </c>
      <c r="J272" s="196">
        <v>7.17E-2</v>
      </c>
      <c r="K272" s="220">
        <v>1350200</v>
      </c>
      <c r="L272" s="220">
        <v>100000</v>
      </c>
      <c r="M272" s="201">
        <f>IF(L272=0,0,K272/L272)</f>
        <v>13.502000000000001</v>
      </c>
    </row>
    <row r="273" spans="1:13" s="1" customFormat="1" ht="12.75" customHeight="1" outlineLevel="1" x14ac:dyDescent="0.2">
      <c r="A273" s="321" t="s">
        <v>121</v>
      </c>
      <c r="B273" s="322"/>
      <c r="C273" s="323"/>
      <c r="D273" s="323"/>
      <c r="E273" s="323"/>
      <c r="F273" s="323"/>
      <c r="G273" s="323"/>
      <c r="H273" s="323"/>
      <c r="I273" s="323"/>
      <c r="J273" s="324"/>
      <c r="K273" s="190">
        <f>SUM(K266:K272)</f>
        <v>56388400</v>
      </c>
      <c r="L273" s="190">
        <f>SUM(L266:L272)</f>
        <v>23000000</v>
      </c>
      <c r="M273" s="193"/>
    </row>
    <row r="274" spans="1:13" s="1" customFormat="1" ht="12.75" customHeight="1" outlineLevel="1" x14ac:dyDescent="0.2">
      <c r="A274" s="339" t="s">
        <v>208</v>
      </c>
      <c r="B274" s="340"/>
      <c r="C274" s="340"/>
      <c r="D274" s="340"/>
      <c r="E274" s="340"/>
      <c r="F274" s="340"/>
      <c r="G274" s="340"/>
      <c r="H274" s="340"/>
      <c r="I274" s="340"/>
      <c r="J274" s="341"/>
      <c r="K274" s="275">
        <f>K246+K249+K257+K265+K273</f>
        <v>161541129</v>
      </c>
      <c r="L274" s="275">
        <f>L246+L249+L257+L265+L273</f>
        <v>82696429</v>
      </c>
      <c r="M274" s="276"/>
    </row>
    <row r="275" spans="1:13" s="1" customFormat="1" ht="12.75" customHeight="1" outlineLevel="1" x14ac:dyDescent="0.2">
      <c r="A275" s="339" t="s">
        <v>229</v>
      </c>
      <c r="B275" s="340"/>
      <c r="C275" s="340"/>
      <c r="D275" s="340"/>
      <c r="E275" s="340"/>
      <c r="F275" s="340"/>
      <c r="G275" s="340"/>
      <c r="H275" s="340"/>
      <c r="I275" s="340"/>
      <c r="J275" s="341"/>
      <c r="K275" s="275">
        <f>K238+K274</f>
        <v>1061802401</v>
      </c>
      <c r="L275" s="275">
        <f>L238+L274</f>
        <v>541352401</v>
      </c>
      <c r="M275" s="213"/>
    </row>
    <row r="276" spans="1:13" s="1" customFormat="1" ht="12.75" customHeight="1" outlineLevel="1" x14ac:dyDescent="0.2">
      <c r="A276" s="164">
        <v>45468</v>
      </c>
      <c r="B276" s="164">
        <v>45475</v>
      </c>
      <c r="C276" s="160" t="s">
        <v>155</v>
      </c>
      <c r="D276" s="172" t="s">
        <v>230</v>
      </c>
      <c r="E276" s="158">
        <v>47301</v>
      </c>
      <c r="F276" s="166">
        <v>5.0999999999999997E-2</v>
      </c>
      <c r="G276" s="258"/>
      <c r="H276" s="166"/>
      <c r="I276" s="166">
        <v>5.0999999999999997E-2</v>
      </c>
      <c r="J276" s="166"/>
      <c r="K276" s="274" t="s">
        <v>233</v>
      </c>
      <c r="L276" s="274" t="s">
        <v>233</v>
      </c>
      <c r="M276" s="170"/>
    </row>
    <row r="277" spans="1:13" s="1" customFormat="1" ht="12.75" customHeight="1" outlineLevel="1" x14ac:dyDescent="0.2">
      <c r="A277" s="164"/>
      <c r="B277" s="164"/>
      <c r="C277" s="160"/>
      <c r="D277" s="172"/>
      <c r="E277" s="158"/>
      <c r="F277" s="166"/>
      <c r="G277" s="258"/>
      <c r="H277" s="166"/>
      <c r="I277" s="166"/>
      <c r="J277" s="166"/>
      <c r="K277" s="256">
        <f>16355*750000000/1000000</f>
        <v>12266250</v>
      </c>
      <c r="L277" s="256">
        <f>16355*750000000/1000000</f>
        <v>12266250</v>
      </c>
      <c r="M277" s="170">
        <f>IF(L277=0,0,K277/L277)</f>
        <v>1</v>
      </c>
    </row>
    <row r="278" spans="1:13" s="1" customFormat="1" ht="12.75" customHeight="1" outlineLevel="1" x14ac:dyDescent="0.2">
      <c r="A278" s="164"/>
      <c r="B278" s="164"/>
      <c r="C278" s="160"/>
      <c r="D278" s="172" t="s">
        <v>232</v>
      </c>
      <c r="E278" s="158">
        <v>49127</v>
      </c>
      <c r="F278" s="166">
        <v>5.1999999999999998E-2</v>
      </c>
      <c r="G278" s="258"/>
      <c r="H278" s="166"/>
      <c r="I278" s="166">
        <v>5.1999999999999998E-2</v>
      </c>
      <c r="J278" s="166"/>
      <c r="K278" s="256" t="s">
        <v>117</v>
      </c>
      <c r="L278" s="256" t="s">
        <v>117</v>
      </c>
      <c r="M278" s="170"/>
    </row>
    <row r="279" spans="1:13" s="1" customFormat="1" ht="12.75" customHeight="1" outlineLevel="1" x14ac:dyDescent="0.2">
      <c r="A279" s="164"/>
      <c r="B279" s="164"/>
      <c r="C279" s="160"/>
      <c r="D279" s="172"/>
      <c r="E279" s="158"/>
      <c r="F279" s="166"/>
      <c r="G279" s="258"/>
      <c r="H279" s="166"/>
      <c r="I279" s="166"/>
      <c r="J279" s="166"/>
      <c r="K279" s="256">
        <f>16355*1000000000/1000000</f>
        <v>16355000</v>
      </c>
      <c r="L279" s="256">
        <f>16355*1000000000/1000000</f>
        <v>16355000</v>
      </c>
      <c r="M279" s="170">
        <f>IF(L279=0,0,K279/L279)</f>
        <v>1</v>
      </c>
    </row>
    <row r="280" spans="1:13" s="1" customFormat="1" ht="12.75" customHeight="1" outlineLevel="1" x14ac:dyDescent="0.2">
      <c r="A280" s="164"/>
      <c r="B280" s="164"/>
      <c r="C280" s="160"/>
      <c r="D280" s="172" t="s">
        <v>231</v>
      </c>
      <c r="E280" s="158">
        <v>56432</v>
      </c>
      <c r="F280" s="166">
        <v>5.5E-2</v>
      </c>
      <c r="G280" s="258"/>
      <c r="H280" s="166"/>
      <c r="I280" s="166">
        <v>5.5E-2</v>
      </c>
      <c r="J280" s="166"/>
      <c r="K280" s="256" t="s">
        <v>234</v>
      </c>
      <c r="L280" s="256" t="s">
        <v>234</v>
      </c>
      <c r="M280" s="170"/>
    </row>
    <row r="281" spans="1:13" s="1" customFormat="1" ht="12.75" customHeight="1" outlineLevel="1" x14ac:dyDescent="0.2">
      <c r="A281" s="164"/>
      <c r="B281" s="164"/>
      <c r="C281" s="160"/>
      <c r="D281" s="172"/>
      <c r="E281" s="158"/>
      <c r="F281" s="166"/>
      <c r="G281" s="258"/>
      <c r="H281" s="166"/>
      <c r="I281" s="166"/>
      <c r="J281" s="166"/>
      <c r="K281" s="256">
        <f>16355*600000000/1000000</f>
        <v>9813000</v>
      </c>
      <c r="L281" s="256">
        <f>16355*600000000/1000000</f>
        <v>9813000</v>
      </c>
      <c r="M281" s="170">
        <f>IF(L281=0,0,K281/L281)</f>
        <v>1</v>
      </c>
    </row>
    <row r="282" spans="1:13" s="1" customFormat="1" ht="12.75" customHeight="1" outlineLevel="1" x14ac:dyDescent="0.2">
      <c r="A282" s="315" t="s">
        <v>121</v>
      </c>
      <c r="B282" s="316"/>
      <c r="C282" s="316"/>
      <c r="D282" s="316"/>
      <c r="E282" s="316"/>
      <c r="F282" s="316"/>
      <c r="G282" s="316"/>
      <c r="H282" s="316"/>
      <c r="I282" s="316"/>
      <c r="J282" s="317"/>
      <c r="K282" s="255">
        <f>K277+K279+K281</f>
        <v>38434250</v>
      </c>
      <c r="L282" s="255">
        <f>L277+L279+L281</f>
        <v>38434250</v>
      </c>
      <c r="M282" s="165"/>
    </row>
    <row r="283" spans="1:13" s="1" customFormat="1" ht="12.75" customHeight="1" outlineLevel="1" x14ac:dyDescent="0.2">
      <c r="A283" s="164">
        <v>45475</v>
      </c>
      <c r="B283" s="164">
        <v>45477</v>
      </c>
      <c r="C283" s="160" t="s">
        <v>136</v>
      </c>
      <c r="D283" s="172" t="s">
        <v>196</v>
      </c>
      <c r="E283" s="158">
        <v>45677</v>
      </c>
      <c r="F283" s="166" t="s">
        <v>128</v>
      </c>
      <c r="G283" s="258">
        <v>6.7900000000000002E-2</v>
      </c>
      <c r="H283" s="166">
        <v>6.88E-2</v>
      </c>
      <c r="I283" s="166">
        <v>6.8433300000000002E-2</v>
      </c>
      <c r="J283" s="166">
        <v>6.8500000000000005E-2</v>
      </c>
      <c r="K283" s="256">
        <v>2195000</v>
      </c>
      <c r="L283" s="257">
        <v>300000</v>
      </c>
      <c r="M283" s="170">
        <f>IF(L283=0,0,K283/L283)</f>
        <v>7.3166666666666664</v>
      </c>
    </row>
    <row r="284" spans="1:13" s="1" customFormat="1" ht="12.75" customHeight="1" outlineLevel="1" x14ac:dyDescent="0.2">
      <c r="A284" s="164"/>
      <c r="B284" s="164"/>
      <c r="C284" s="160"/>
      <c r="D284" s="172" t="s">
        <v>242</v>
      </c>
      <c r="E284" s="158">
        <v>45748</v>
      </c>
      <c r="F284" s="166" t="s">
        <v>128</v>
      </c>
      <c r="G284" s="166">
        <v>6.8699999999999997E-2</v>
      </c>
      <c r="H284" s="166">
        <v>6.9500000000000006E-2</v>
      </c>
      <c r="I284" s="178">
        <v>6.9248299999999999E-2</v>
      </c>
      <c r="J284" s="178">
        <v>6.9500000000000006E-2</v>
      </c>
      <c r="K284" s="256">
        <v>3496000</v>
      </c>
      <c r="L284" s="257">
        <v>1184000</v>
      </c>
      <c r="M284" s="170">
        <f t="shared" ref="M284:M289" si="49">IF(L284=0,0,K284/L284)</f>
        <v>2.9527027027027026</v>
      </c>
    </row>
    <row r="285" spans="1:13" s="1" customFormat="1" ht="12.75" customHeight="1" outlineLevel="1" x14ac:dyDescent="0.2">
      <c r="A285" s="164"/>
      <c r="B285" s="158"/>
      <c r="C285" s="160"/>
      <c r="D285" s="172" t="s">
        <v>150</v>
      </c>
      <c r="E285" s="158">
        <v>46218</v>
      </c>
      <c r="F285" s="166">
        <v>4.8750000000000002E-2</v>
      </c>
      <c r="G285" s="166">
        <v>6.9500000000000006E-2</v>
      </c>
      <c r="H285" s="166">
        <v>7.2900000000000006E-2</v>
      </c>
      <c r="I285" s="175">
        <v>6.9995199999999994E-2</v>
      </c>
      <c r="J285" s="175">
        <v>7.0300000000000001E-2</v>
      </c>
      <c r="K285" s="256">
        <v>4173000</v>
      </c>
      <c r="L285" s="256">
        <v>1300000</v>
      </c>
      <c r="M285" s="170">
        <f t="shared" si="49"/>
        <v>3.21</v>
      </c>
    </row>
    <row r="286" spans="1:13" s="1" customFormat="1" ht="12.75" customHeight="1" outlineLevel="1" x14ac:dyDescent="0.2">
      <c r="A286" s="156"/>
      <c r="B286" s="156"/>
      <c r="C286" s="156"/>
      <c r="D286" s="2" t="s">
        <v>151</v>
      </c>
      <c r="E286" s="158">
        <v>46949</v>
      </c>
      <c r="F286" s="177">
        <v>5.8749999999999997E-2</v>
      </c>
      <c r="G286" s="166">
        <v>6.8199999999999997E-2</v>
      </c>
      <c r="H286" s="166">
        <v>7.0699999999999999E-2</v>
      </c>
      <c r="I286" s="175">
        <v>0</v>
      </c>
      <c r="J286" s="175">
        <v>0</v>
      </c>
      <c r="K286" s="256">
        <v>1152000</v>
      </c>
      <c r="L286" s="256">
        <v>0</v>
      </c>
      <c r="M286" s="170">
        <f t="shared" si="49"/>
        <v>0</v>
      </c>
    </row>
    <row r="287" spans="1:13" s="1" customFormat="1" ht="12.75" customHeight="1" outlineLevel="1" x14ac:dyDescent="0.2">
      <c r="A287" s="181"/>
      <c r="B287" s="156"/>
      <c r="C287" s="182"/>
      <c r="D287" s="172" t="s">
        <v>139</v>
      </c>
      <c r="E287" s="158">
        <v>47376</v>
      </c>
      <c r="F287" s="166">
        <v>6.6250000000000003E-2</v>
      </c>
      <c r="G287" s="166">
        <v>6.8199999999999997E-2</v>
      </c>
      <c r="H287" s="166">
        <v>7.0199999999999999E-2</v>
      </c>
      <c r="I287" s="175">
        <v>6.8328600000000003E-2</v>
      </c>
      <c r="J287" s="175">
        <v>6.8500000000000005E-2</v>
      </c>
      <c r="K287" s="256">
        <v>1300000</v>
      </c>
      <c r="L287" s="256">
        <v>100000</v>
      </c>
      <c r="M287" s="170">
        <f t="shared" si="49"/>
        <v>13</v>
      </c>
    </row>
    <row r="288" spans="1:13" s="1" customFormat="1" ht="12.75" customHeight="1" outlineLevel="1" x14ac:dyDescent="0.2">
      <c r="A288" s="181"/>
      <c r="B288" s="156"/>
      <c r="C288" s="182"/>
      <c r="D288" s="172" t="s">
        <v>53</v>
      </c>
      <c r="E288" s="158">
        <v>50086</v>
      </c>
      <c r="F288" s="166">
        <v>6.0999999999999999E-2</v>
      </c>
      <c r="G288" s="166">
        <v>6.9699999999999998E-2</v>
      </c>
      <c r="H288" s="166">
        <v>7.2499999999999995E-2</v>
      </c>
      <c r="I288" s="175">
        <v>6.9905400000000006E-2</v>
      </c>
      <c r="J288" s="175">
        <v>7.0000000000000007E-2</v>
      </c>
      <c r="K288" s="256">
        <v>359000</v>
      </c>
      <c r="L288" s="256">
        <v>150000</v>
      </c>
      <c r="M288" s="170">
        <f t="shared" si="49"/>
        <v>2.3933333333333335</v>
      </c>
    </row>
    <row r="289" spans="1:13" s="1" customFormat="1" ht="12.75" customHeight="1" outlineLevel="1" x14ac:dyDescent="0.2">
      <c r="A289" s="181"/>
      <c r="B289" s="156"/>
      <c r="C289" s="182"/>
      <c r="D289" s="172" t="s">
        <v>142</v>
      </c>
      <c r="E289" s="158">
        <v>54772</v>
      </c>
      <c r="F289" s="166">
        <v>6.8750000000000006E-2</v>
      </c>
      <c r="G289" s="166">
        <v>7.0999999999999994E-2</v>
      </c>
      <c r="H289" s="166">
        <v>7.3200000000000001E-2</v>
      </c>
      <c r="I289" s="175">
        <v>7.1897199999999994E-2</v>
      </c>
      <c r="J289" s="175">
        <v>7.22E-2</v>
      </c>
      <c r="K289" s="256">
        <v>5319700</v>
      </c>
      <c r="L289" s="256">
        <v>4150000</v>
      </c>
      <c r="M289" s="170">
        <f t="shared" si="49"/>
        <v>1.281855421686747</v>
      </c>
    </row>
    <row r="290" spans="1:13" s="1" customFormat="1" ht="12.75" customHeight="1" outlineLevel="1" x14ac:dyDescent="0.2">
      <c r="A290" s="315" t="s">
        <v>121</v>
      </c>
      <c r="B290" s="316"/>
      <c r="C290" s="316"/>
      <c r="D290" s="316"/>
      <c r="E290" s="316"/>
      <c r="F290" s="316"/>
      <c r="G290" s="316"/>
      <c r="H290" s="316"/>
      <c r="I290" s="316"/>
      <c r="J290" s="317"/>
      <c r="K290" s="255">
        <f>SUM(K283:K289)</f>
        <v>17994700</v>
      </c>
      <c r="L290" s="255">
        <f>SUM(L283:L289)</f>
        <v>7184000</v>
      </c>
      <c r="M290" s="165"/>
    </row>
    <row r="291" spans="1:13" ht="12.75" customHeight="1" x14ac:dyDescent="0.2">
      <c r="A291" s="237">
        <v>45481</v>
      </c>
      <c r="B291" s="238">
        <v>45483</v>
      </c>
      <c r="C291" s="239" t="s">
        <v>155</v>
      </c>
      <c r="D291" s="240" t="s">
        <v>238</v>
      </c>
      <c r="E291" s="241">
        <v>46433</v>
      </c>
      <c r="F291" s="242">
        <v>6.4500000000000002E-2</v>
      </c>
      <c r="G291" s="242"/>
      <c r="H291" s="242"/>
      <c r="I291" s="194"/>
      <c r="J291" s="194"/>
      <c r="K291" s="243">
        <v>14493384</v>
      </c>
      <c r="L291" s="243">
        <f>K291</f>
        <v>14493384</v>
      </c>
      <c r="M291" s="244">
        <f>IF(L291=0,0,K291/L291)</f>
        <v>1</v>
      </c>
    </row>
    <row r="292" spans="1:13" ht="12.75" customHeight="1" x14ac:dyDescent="0.2">
      <c r="A292" s="245"/>
      <c r="B292" s="246"/>
      <c r="C292" s="247"/>
      <c r="D292" s="248" t="s">
        <v>239</v>
      </c>
      <c r="E292" s="249">
        <v>47529</v>
      </c>
      <c r="F292" s="250">
        <v>6.6000000000000003E-2</v>
      </c>
      <c r="G292" s="250"/>
      <c r="H292" s="250"/>
      <c r="I292" s="251"/>
      <c r="J292" s="251"/>
      <c r="K292" s="252">
        <v>4961110</v>
      </c>
      <c r="L292" s="252">
        <f>K292</f>
        <v>4961110</v>
      </c>
      <c r="M292" s="253">
        <f>IF(L292=0,0,K292/L292)</f>
        <v>1</v>
      </c>
    </row>
    <row r="293" spans="1:13" ht="12" customHeight="1" x14ac:dyDescent="0.2">
      <c r="A293" s="325" t="s">
        <v>121</v>
      </c>
      <c r="B293" s="322"/>
      <c r="C293" s="322"/>
      <c r="D293" s="322"/>
      <c r="E293" s="322"/>
      <c r="F293" s="322"/>
      <c r="G293" s="322"/>
      <c r="H293" s="322"/>
      <c r="I293" s="322"/>
      <c r="J293" s="326"/>
      <c r="K293" s="254">
        <f>SUM(K291:K292)</f>
        <v>19454494</v>
      </c>
      <c r="L293" s="254">
        <f>SUM(L291:L292)</f>
        <v>19454494</v>
      </c>
      <c r="M293" s="213"/>
    </row>
    <row r="294" spans="1:13" ht="12" customHeight="1" outlineLevel="1" x14ac:dyDescent="0.2">
      <c r="A294" s="198">
        <v>45482</v>
      </c>
      <c r="B294" s="215">
        <v>45484</v>
      </c>
      <c r="C294" s="199" t="s">
        <v>136</v>
      </c>
      <c r="D294" s="184" t="s">
        <v>240</v>
      </c>
      <c r="E294" s="185">
        <v>45574</v>
      </c>
      <c r="F294" s="186" t="s">
        <v>128</v>
      </c>
      <c r="G294" s="202">
        <v>6.5699999999999995E-2</v>
      </c>
      <c r="H294" s="202">
        <v>6.6500000000000004E-2</v>
      </c>
      <c r="I294" s="194" t="s">
        <v>130</v>
      </c>
      <c r="J294" s="194" t="s">
        <v>130</v>
      </c>
      <c r="K294" s="216">
        <v>2195000</v>
      </c>
      <c r="L294" s="216">
        <v>0</v>
      </c>
      <c r="M294" s="188">
        <f t="shared" ref="M294:M295" si="50">IF(L294=0,0,K294/L294)</f>
        <v>0</v>
      </c>
    </row>
    <row r="295" spans="1:13" ht="12" customHeight="1" outlineLevel="1" x14ac:dyDescent="0.2">
      <c r="A295" s="198"/>
      <c r="B295" s="183"/>
      <c r="C295" s="199"/>
      <c r="D295" s="184" t="s">
        <v>241</v>
      </c>
      <c r="E295" s="185">
        <v>45848</v>
      </c>
      <c r="F295" s="186" t="s">
        <v>128</v>
      </c>
      <c r="G295" s="186">
        <v>6.8199999999999997E-2</v>
      </c>
      <c r="H295" s="186">
        <v>6.9500000000000006E-2</v>
      </c>
      <c r="I295" s="202">
        <v>6.8199999999999997E-2</v>
      </c>
      <c r="J295" s="203">
        <v>6.8199999999999997E-2</v>
      </c>
      <c r="K295" s="216">
        <v>3550000</v>
      </c>
      <c r="L295" s="216">
        <v>200000</v>
      </c>
      <c r="M295" s="188">
        <f t="shared" si="50"/>
        <v>17.75</v>
      </c>
    </row>
    <row r="296" spans="1:13" ht="12.75" customHeight="1" outlineLevel="1" x14ac:dyDescent="0.2">
      <c r="A296" s="198"/>
      <c r="B296" s="185"/>
      <c r="C296" s="199"/>
      <c r="D296" s="184" t="s">
        <v>141</v>
      </c>
      <c r="E296" s="185">
        <v>47223</v>
      </c>
      <c r="F296" s="186">
        <v>6.8750000000000006E-2</v>
      </c>
      <c r="G296" s="186">
        <v>6.8699999999999997E-2</v>
      </c>
      <c r="H296" s="186">
        <v>7.0199999999999999E-2</v>
      </c>
      <c r="I296" s="187">
        <v>6.9099300000000002E-2</v>
      </c>
      <c r="J296" s="195">
        <v>6.93E-2</v>
      </c>
      <c r="K296" s="216">
        <v>14311900</v>
      </c>
      <c r="L296" s="216">
        <v>7800000</v>
      </c>
      <c r="M296" s="188">
        <f>IF(L296=0,0,K296/L296)</f>
        <v>1.8348589743589743</v>
      </c>
    </row>
    <row r="297" spans="1:13" ht="12.75" customHeight="1" outlineLevel="1" x14ac:dyDescent="0.2">
      <c r="A297" s="191"/>
      <c r="B297" s="189"/>
      <c r="C297" s="192"/>
      <c r="D297" s="184" t="s">
        <v>140</v>
      </c>
      <c r="E297" s="185">
        <v>48990</v>
      </c>
      <c r="F297" s="186">
        <v>6.6250000000000003E-2</v>
      </c>
      <c r="G297" s="186">
        <v>6.9699999999999998E-2</v>
      </c>
      <c r="H297" s="186">
        <v>7.1999999999999995E-2</v>
      </c>
      <c r="I297" s="196">
        <v>7.0356799999999997E-2</v>
      </c>
      <c r="J297" s="197">
        <v>7.0499999999999993E-2</v>
      </c>
      <c r="K297" s="216">
        <v>16748000</v>
      </c>
      <c r="L297" s="216">
        <v>8650000</v>
      </c>
      <c r="M297" s="188">
        <f>IF(L297=0,0,K297/L297)</f>
        <v>1.9361849710982659</v>
      </c>
    </row>
    <row r="298" spans="1:13" ht="12.75" customHeight="1" outlineLevel="1" x14ac:dyDescent="0.2">
      <c r="A298" s="191"/>
      <c r="B298" s="189"/>
      <c r="C298" s="192"/>
      <c r="D298" s="184" t="s">
        <v>138</v>
      </c>
      <c r="E298" s="185">
        <v>50571</v>
      </c>
      <c r="F298" s="186">
        <v>7.1249999999999994E-2</v>
      </c>
      <c r="G298" s="186">
        <v>7.0400000000000004E-2</v>
      </c>
      <c r="H298" s="186">
        <v>7.1999999999999995E-2</v>
      </c>
      <c r="I298" s="187">
        <v>7.0896000000000001E-2</v>
      </c>
      <c r="J298" s="197">
        <v>7.1099999999999997E-2</v>
      </c>
      <c r="K298" s="216">
        <v>3667300</v>
      </c>
      <c r="L298" s="216">
        <v>2400000</v>
      </c>
      <c r="M298" s="188">
        <f>IF(L298=0,0,K298/L298)</f>
        <v>1.5280416666666667</v>
      </c>
    </row>
    <row r="299" spans="1:13" ht="12.75" customHeight="1" outlineLevel="1" x14ac:dyDescent="0.2">
      <c r="A299" s="191"/>
      <c r="B299" s="189"/>
      <c r="C299" s="192"/>
      <c r="D299" s="184" t="s">
        <v>137</v>
      </c>
      <c r="E299" s="185">
        <v>52397</v>
      </c>
      <c r="F299" s="186">
        <v>7.1249999999999994E-2</v>
      </c>
      <c r="G299" s="186">
        <v>7.0699999999999999E-2</v>
      </c>
      <c r="H299" s="186">
        <v>7.1999999999999995E-2</v>
      </c>
      <c r="I299" s="187">
        <v>7.1197700000000003E-2</v>
      </c>
      <c r="J299" s="195">
        <v>7.1499999999999994E-2</v>
      </c>
      <c r="K299" s="220">
        <v>4641400</v>
      </c>
      <c r="L299" s="220">
        <v>3550000</v>
      </c>
      <c r="M299" s="188">
        <f>IF(L299=0,0,K299/L299)</f>
        <v>1.3074366197183098</v>
      </c>
    </row>
    <row r="300" spans="1:13" ht="12.75" customHeight="1" outlineLevel="1" x14ac:dyDescent="0.2">
      <c r="A300" s="191"/>
      <c r="B300" s="200"/>
      <c r="C300" s="192"/>
      <c r="D300" s="184" t="s">
        <v>146</v>
      </c>
      <c r="E300" s="185">
        <v>56445</v>
      </c>
      <c r="F300" s="186">
        <v>6.8750000000000006E-2</v>
      </c>
      <c r="G300" s="186">
        <v>7.0699999999999999E-2</v>
      </c>
      <c r="H300" s="186">
        <v>7.1999999999999995E-2</v>
      </c>
      <c r="I300" s="197">
        <v>7.1293700000000002E-2</v>
      </c>
      <c r="J300" s="196">
        <v>7.1499999999999994E-2</v>
      </c>
      <c r="K300" s="220">
        <v>3236800</v>
      </c>
      <c r="L300" s="220">
        <v>1400000</v>
      </c>
      <c r="M300" s="201">
        <f>IF(L300=0,0,K300/L300)</f>
        <v>2.3119999999999998</v>
      </c>
    </row>
    <row r="301" spans="1:13" s="1" customFormat="1" ht="12.75" customHeight="1" outlineLevel="1" x14ac:dyDescent="0.2">
      <c r="A301" s="321" t="s">
        <v>121</v>
      </c>
      <c r="B301" s="322"/>
      <c r="C301" s="323"/>
      <c r="D301" s="323"/>
      <c r="E301" s="323"/>
      <c r="F301" s="323"/>
      <c r="G301" s="323"/>
      <c r="H301" s="323"/>
      <c r="I301" s="323"/>
      <c r="J301" s="324"/>
      <c r="K301" s="190">
        <f>SUM(K294:K300)</f>
        <v>48350400</v>
      </c>
      <c r="L301" s="190">
        <f>SUM(L294:L300)</f>
        <v>24000000</v>
      </c>
      <c r="M301" s="193"/>
    </row>
    <row r="302" spans="1:13" x14ac:dyDescent="0.2">
      <c r="A302" s="164">
        <v>45489</v>
      </c>
      <c r="B302" s="164">
        <v>45491</v>
      </c>
      <c r="C302" s="160" t="s">
        <v>136</v>
      </c>
      <c r="D302" s="172" t="s">
        <v>196</v>
      </c>
      <c r="E302" s="158">
        <v>45677</v>
      </c>
      <c r="F302" s="166" t="s">
        <v>128</v>
      </c>
      <c r="G302" s="258">
        <v>6.7699999999999996E-2</v>
      </c>
      <c r="H302" s="166">
        <v>6.8699999999999997E-2</v>
      </c>
      <c r="I302" s="166">
        <v>6.8183300000000002E-2</v>
      </c>
      <c r="J302" s="166">
        <v>6.8500000000000005E-2</v>
      </c>
      <c r="K302" s="256">
        <v>2191000</v>
      </c>
      <c r="L302" s="257">
        <v>600000</v>
      </c>
      <c r="M302" s="170">
        <f>IF(L302=0,0,K302/L302)</f>
        <v>3.6516666666666668</v>
      </c>
    </row>
    <row r="303" spans="1:13" x14ac:dyDescent="0.2">
      <c r="A303" s="164"/>
      <c r="B303" s="164"/>
      <c r="C303" s="160"/>
      <c r="D303" s="172" t="s">
        <v>242</v>
      </c>
      <c r="E303" s="158">
        <v>45748</v>
      </c>
      <c r="F303" s="166" t="s">
        <v>128</v>
      </c>
      <c r="G303" s="166">
        <v>6.8699999999999997E-2</v>
      </c>
      <c r="H303" s="166">
        <v>6.9500000000000006E-2</v>
      </c>
      <c r="I303" s="178">
        <v>6.8992399999999995E-2</v>
      </c>
      <c r="J303" s="180">
        <v>6.93E-2</v>
      </c>
      <c r="K303" s="256">
        <v>3330000</v>
      </c>
      <c r="L303" s="257">
        <v>550000</v>
      </c>
      <c r="M303" s="170">
        <f t="shared" ref="M303:M308" si="51">IF(L303=0,0,K303/L303)</f>
        <v>6.0545454545454547</v>
      </c>
    </row>
    <row r="304" spans="1:13" x14ac:dyDescent="0.2">
      <c r="A304" s="164"/>
      <c r="B304" s="158"/>
      <c r="C304" s="160"/>
      <c r="D304" s="172" t="s">
        <v>150</v>
      </c>
      <c r="E304" s="158">
        <v>46218</v>
      </c>
      <c r="F304" s="166">
        <v>4.8750000000000002E-2</v>
      </c>
      <c r="G304" s="166">
        <v>6.8000000000000005E-2</v>
      </c>
      <c r="H304" s="166">
        <v>7.1499999999999994E-2</v>
      </c>
      <c r="I304" s="175">
        <v>6.8199700000000002E-2</v>
      </c>
      <c r="J304" s="180">
        <v>6.8400000000000002E-2</v>
      </c>
      <c r="K304" s="256">
        <v>9928500</v>
      </c>
      <c r="L304" s="256">
        <v>1100000</v>
      </c>
      <c r="M304" s="170">
        <f t="shared" si="51"/>
        <v>9.0259090909090904</v>
      </c>
    </row>
    <row r="305" spans="1:13" x14ac:dyDescent="0.2">
      <c r="A305" s="156"/>
      <c r="B305" s="156"/>
      <c r="C305" s="156"/>
      <c r="D305" s="2" t="s">
        <v>151</v>
      </c>
      <c r="E305" s="158">
        <v>46949</v>
      </c>
      <c r="F305" s="177">
        <v>5.8749999999999997E-2</v>
      </c>
      <c r="G305" s="166">
        <v>6.7500000000000004E-2</v>
      </c>
      <c r="H305" s="166">
        <v>7.0000000000000007E-2</v>
      </c>
      <c r="I305" s="175">
        <v>6.8016699999999999E-2</v>
      </c>
      <c r="J305" s="166">
        <v>6.83E-2</v>
      </c>
      <c r="K305" s="256">
        <v>6965000</v>
      </c>
      <c r="L305" s="256">
        <v>5500000</v>
      </c>
      <c r="M305" s="170">
        <f t="shared" si="51"/>
        <v>1.2663636363636364</v>
      </c>
    </row>
    <row r="306" spans="1:13" x14ac:dyDescent="0.2">
      <c r="A306" s="181"/>
      <c r="B306" s="156"/>
      <c r="C306" s="182"/>
      <c r="D306" s="2" t="s">
        <v>53</v>
      </c>
      <c r="E306" s="158">
        <v>50086</v>
      </c>
      <c r="F306" s="177">
        <v>6.0999999999999999E-2</v>
      </c>
      <c r="G306" s="166">
        <v>6.9000000000000006E-2</v>
      </c>
      <c r="H306" s="166">
        <v>7.0999999999999994E-2</v>
      </c>
      <c r="I306" s="175">
        <v>6.9585300000000003E-2</v>
      </c>
      <c r="J306" s="166">
        <v>7.0000000000000007E-2</v>
      </c>
      <c r="K306" s="256">
        <v>387500</v>
      </c>
      <c r="L306" s="256">
        <v>300000</v>
      </c>
      <c r="M306" s="170">
        <f t="shared" si="51"/>
        <v>1.2916666666666667</v>
      </c>
    </row>
    <row r="307" spans="1:13" x14ac:dyDescent="0.2">
      <c r="A307" s="181"/>
      <c r="B307" s="156"/>
      <c r="C307" s="182"/>
      <c r="D307" s="2" t="s">
        <v>152</v>
      </c>
      <c r="E307" s="158">
        <v>51697</v>
      </c>
      <c r="F307" s="177">
        <v>6.6250000000000003E-2</v>
      </c>
      <c r="G307" s="166">
        <v>6.93E-2</v>
      </c>
      <c r="H307" s="166">
        <v>7.0999999999999994E-2</v>
      </c>
      <c r="I307" s="175">
        <v>7.0269600000000002E-2</v>
      </c>
      <c r="J307" s="166">
        <v>7.0400000000000004E-2</v>
      </c>
      <c r="K307" s="256">
        <v>201500</v>
      </c>
      <c r="L307" s="256">
        <v>100000</v>
      </c>
      <c r="M307" s="170">
        <f t="shared" si="51"/>
        <v>2.0150000000000001</v>
      </c>
    </row>
    <row r="308" spans="1:13" x14ac:dyDescent="0.2">
      <c r="A308" s="181"/>
      <c r="B308" s="156"/>
      <c r="C308" s="182"/>
      <c r="D308" s="172" t="s">
        <v>142</v>
      </c>
      <c r="E308" s="158">
        <v>54772</v>
      </c>
      <c r="F308" s="166">
        <v>6.8750000000000006E-2</v>
      </c>
      <c r="G308" s="166">
        <v>7.0000000000000007E-2</v>
      </c>
      <c r="H308" s="166">
        <v>7.2499999999999995E-2</v>
      </c>
      <c r="I308" s="175">
        <v>7.1549299999999996E-2</v>
      </c>
      <c r="J308" s="175">
        <v>7.1599999999999997E-2</v>
      </c>
      <c r="K308" s="256">
        <v>4702900</v>
      </c>
      <c r="L308" s="256">
        <v>1850000</v>
      </c>
      <c r="M308" s="170">
        <f t="shared" si="51"/>
        <v>2.5421081081081081</v>
      </c>
    </row>
    <row r="309" spans="1:13" x14ac:dyDescent="0.2">
      <c r="A309" s="315" t="s">
        <v>121</v>
      </c>
      <c r="B309" s="316"/>
      <c r="C309" s="316"/>
      <c r="D309" s="316"/>
      <c r="E309" s="316"/>
      <c r="F309" s="316"/>
      <c r="G309" s="316"/>
      <c r="H309" s="316"/>
      <c r="I309" s="316"/>
      <c r="J309" s="317"/>
      <c r="K309" s="255">
        <f>SUM(K302:K308)</f>
        <v>27706400</v>
      </c>
      <c r="L309" s="255">
        <f>SUM(L302:L308)</f>
        <v>10000000</v>
      </c>
      <c r="M309" s="165"/>
    </row>
    <row r="310" spans="1:13" ht="12" customHeight="1" outlineLevel="1" x14ac:dyDescent="0.2">
      <c r="A310" s="198">
        <v>45496</v>
      </c>
      <c r="B310" s="215">
        <v>45498</v>
      </c>
      <c r="C310" s="199" t="s">
        <v>136</v>
      </c>
      <c r="D310" s="184" t="s">
        <v>244</v>
      </c>
      <c r="E310" s="185">
        <v>45588</v>
      </c>
      <c r="F310" s="186" t="s">
        <v>128</v>
      </c>
      <c r="G310" s="202">
        <v>6.4500000000000002E-2</v>
      </c>
      <c r="H310" s="202">
        <v>6.6500000000000004E-2</v>
      </c>
      <c r="I310" s="194">
        <v>6.4500000000000002E-2</v>
      </c>
      <c r="J310" s="194">
        <v>6.4500000000000002E-2</v>
      </c>
      <c r="K310" s="216">
        <v>3417000</v>
      </c>
      <c r="L310" s="216">
        <v>1000000</v>
      </c>
      <c r="M310" s="188">
        <f t="shared" ref="M310:M316" si="52">IF(L310=0,0,K310/L310)</f>
        <v>3.4169999999999998</v>
      </c>
    </row>
    <row r="311" spans="1:13" ht="12" customHeight="1" outlineLevel="1" x14ac:dyDescent="0.2">
      <c r="A311" s="198"/>
      <c r="B311" s="183"/>
      <c r="C311" s="199"/>
      <c r="D311" s="184" t="s">
        <v>241</v>
      </c>
      <c r="E311" s="185">
        <v>45848</v>
      </c>
      <c r="F311" s="186" t="s">
        <v>128</v>
      </c>
      <c r="G311" s="186">
        <v>6.7199999999999996E-2</v>
      </c>
      <c r="H311" s="186">
        <v>6.8599999999999994E-2</v>
      </c>
      <c r="I311" s="202">
        <v>6.7199999999999996E-2</v>
      </c>
      <c r="J311" s="203">
        <v>6.7199999999999996E-2</v>
      </c>
      <c r="K311" s="216">
        <v>8264000</v>
      </c>
      <c r="L311" s="216">
        <v>800000</v>
      </c>
      <c r="M311" s="188">
        <f t="shared" si="52"/>
        <v>10.33</v>
      </c>
    </row>
    <row r="312" spans="1:13" ht="12.75" customHeight="1" outlineLevel="1" x14ac:dyDescent="0.2">
      <c r="A312" s="198"/>
      <c r="B312" s="185"/>
      <c r="C312" s="199"/>
      <c r="D312" s="184" t="s">
        <v>141</v>
      </c>
      <c r="E312" s="185">
        <v>47223</v>
      </c>
      <c r="F312" s="186">
        <v>6.8750000000000006E-2</v>
      </c>
      <c r="G312" s="186">
        <v>6.83E-2</v>
      </c>
      <c r="H312" s="186">
        <v>7.0000000000000007E-2</v>
      </c>
      <c r="I312" s="187">
        <v>6.8759500000000001E-2</v>
      </c>
      <c r="J312" s="195">
        <v>6.8900000000000003E-2</v>
      </c>
      <c r="K312" s="216">
        <v>19374700</v>
      </c>
      <c r="L312" s="216">
        <v>7100000</v>
      </c>
      <c r="M312" s="188">
        <f t="shared" si="52"/>
        <v>2.7288309859154931</v>
      </c>
    </row>
    <row r="313" spans="1:13" ht="12.75" customHeight="1" outlineLevel="1" x14ac:dyDescent="0.2">
      <c r="A313" s="191"/>
      <c r="B313" s="189"/>
      <c r="C313" s="192"/>
      <c r="D313" s="184" t="s">
        <v>140</v>
      </c>
      <c r="E313" s="185">
        <v>48990</v>
      </c>
      <c r="F313" s="186">
        <v>6.6250000000000003E-2</v>
      </c>
      <c r="G313" s="186">
        <v>6.9599999999999995E-2</v>
      </c>
      <c r="H313" s="186">
        <v>7.0999999999999994E-2</v>
      </c>
      <c r="I313" s="196">
        <v>7.0099800000000004E-2</v>
      </c>
      <c r="J313" s="197">
        <v>7.0199999999999999E-2</v>
      </c>
      <c r="K313" s="216">
        <v>15052800</v>
      </c>
      <c r="L313" s="216">
        <v>10300000</v>
      </c>
      <c r="M313" s="188">
        <f t="shared" si="52"/>
        <v>1.4614368932038835</v>
      </c>
    </row>
    <row r="314" spans="1:13" ht="12.75" customHeight="1" outlineLevel="1" x14ac:dyDescent="0.2">
      <c r="A314" s="191"/>
      <c r="B314" s="189"/>
      <c r="C314" s="192"/>
      <c r="D314" s="184" t="s">
        <v>138</v>
      </c>
      <c r="E314" s="185">
        <v>50571</v>
      </c>
      <c r="F314" s="186">
        <v>7.1249999999999994E-2</v>
      </c>
      <c r="G314" s="186">
        <v>7.0800000000000002E-2</v>
      </c>
      <c r="H314" s="186">
        <v>7.2999999999999995E-2</v>
      </c>
      <c r="I314" s="187">
        <v>7.1399000000000004E-2</v>
      </c>
      <c r="J314" s="197">
        <v>7.1399000000000004E-2</v>
      </c>
      <c r="K314" s="216">
        <v>3969400</v>
      </c>
      <c r="L314" s="216">
        <v>1400000</v>
      </c>
      <c r="M314" s="188">
        <f t="shared" si="52"/>
        <v>2.8352857142857144</v>
      </c>
    </row>
    <row r="315" spans="1:13" ht="12.75" customHeight="1" outlineLevel="1" x14ac:dyDescent="0.2">
      <c r="A315" s="191"/>
      <c r="B315" s="189"/>
      <c r="C315" s="192"/>
      <c r="D315" s="184" t="s">
        <v>137</v>
      </c>
      <c r="E315" s="185">
        <v>52397</v>
      </c>
      <c r="F315" s="186">
        <v>7.1249999999999994E-2</v>
      </c>
      <c r="G315" s="186">
        <v>7.1099999999999997E-2</v>
      </c>
      <c r="H315" s="186">
        <v>7.2499999999999995E-2</v>
      </c>
      <c r="I315" s="187">
        <v>7.1468900000000002E-2</v>
      </c>
      <c r="J315" s="195">
        <v>7.1468900000000002E-2</v>
      </c>
      <c r="K315" s="220">
        <v>2482300</v>
      </c>
      <c r="L315" s="220">
        <v>250000</v>
      </c>
      <c r="M315" s="188">
        <f t="shared" si="52"/>
        <v>9.9291999999999998</v>
      </c>
    </row>
    <row r="316" spans="1:13" ht="12.75" customHeight="1" outlineLevel="1" x14ac:dyDescent="0.2">
      <c r="A316" s="191"/>
      <c r="B316" s="200"/>
      <c r="C316" s="192"/>
      <c r="D316" s="184" t="s">
        <v>146</v>
      </c>
      <c r="E316" s="185">
        <v>56445</v>
      </c>
      <c r="F316" s="186">
        <v>6.8750000000000006E-2</v>
      </c>
      <c r="G316" s="186">
        <v>7.0800000000000002E-2</v>
      </c>
      <c r="H316" s="186">
        <v>7.2400000000000006E-2</v>
      </c>
      <c r="I316" s="197">
        <v>7.1297899999999997E-2</v>
      </c>
      <c r="J316" s="196">
        <v>7.1297899999999997E-2</v>
      </c>
      <c r="K316" s="220">
        <v>4630000</v>
      </c>
      <c r="L316" s="220">
        <v>1150000</v>
      </c>
      <c r="M316" s="201">
        <f t="shared" si="52"/>
        <v>4.0260869565217394</v>
      </c>
    </row>
    <row r="317" spans="1:13" s="1" customFormat="1" ht="12.75" customHeight="1" outlineLevel="1" x14ac:dyDescent="0.2">
      <c r="A317" s="321" t="s">
        <v>121</v>
      </c>
      <c r="B317" s="322"/>
      <c r="C317" s="323"/>
      <c r="D317" s="323"/>
      <c r="E317" s="323"/>
      <c r="F317" s="323"/>
      <c r="G317" s="323"/>
      <c r="H317" s="323"/>
      <c r="I317" s="323"/>
      <c r="J317" s="324"/>
      <c r="K317" s="190">
        <f>SUM(K310:K316)</f>
        <v>57190200</v>
      </c>
      <c r="L317" s="190">
        <f>SUM(L310:L316)</f>
        <v>22000000</v>
      </c>
      <c r="M317" s="193"/>
    </row>
    <row r="318" spans="1:13" x14ac:dyDescent="0.2">
      <c r="A318" s="318" t="s">
        <v>235</v>
      </c>
      <c r="B318" s="319"/>
      <c r="C318" s="319"/>
      <c r="D318" s="319"/>
      <c r="E318" s="319"/>
      <c r="F318" s="319"/>
      <c r="G318" s="319"/>
      <c r="H318" s="319"/>
      <c r="I318" s="319"/>
      <c r="J318" s="320"/>
      <c r="K318" s="173">
        <f>K282+K290+K293+K301+K309+K317</f>
        <v>209130444</v>
      </c>
      <c r="L318" s="173">
        <f>L282+L290+L293+L301+L309+L317</f>
        <v>121072744</v>
      </c>
      <c r="M318" s="105"/>
    </row>
    <row r="319" spans="1:13" x14ac:dyDescent="0.2">
      <c r="A319" s="318" t="s">
        <v>243</v>
      </c>
      <c r="B319" s="319"/>
      <c r="C319" s="319"/>
      <c r="D319" s="319"/>
      <c r="E319" s="319"/>
      <c r="F319" s="319"/>
      <c r="G319" s="319"/>
      <c r="H319" s="319"/>
      <c r="I319" s="319"/>
      <c r="J319" s="320"/>
      <c r="K319" s="173">
        <f>K275+K318</f>
        <v>1270932845</v>
      </c>
      <c r="L319" s="173">
        <f>L275+L318</f>
        <v>662425145</v>
      </c>
      <c r="M319" s="165"/>
    </row>
    <row r="320" spans="1:13" x14ac:dyDescent="0.2">
      <c r="A320" s="164">
        <v>45503</v>
      </c>
      <c r="B320" s="164">
        <v>45505</v>
      </c>
      <c r="C320" s="160" t="s">
        <v>136</v>
      </c>
      <c r="D320" s="172" t="s">
        <v>203</v>
      </c>
      <c r="E320" s="158">
        <v>45690</v>
      </c>
      <c r="F320" s="166" t="s">
        <v>128</v>
      </c>
      <c r="G320" s="258">
        <v>6.7000000000000004E-2</v>
      </c>
      <c r="H320" s="166">
        <v>6.8000000000000005E-2</v>
      </c>
      <c r="I320" s="166">
        <v>0</v>
      </c>
      <c r="J320" s="166">
        <v>0</v>
      </c>
      <c r="K320" s="256">
        <v>2052000</v>
      </c>
      <c r="L320" s="257">
        <v>0</v>
      </c>
      <c r="M320" s="170">
        <f>IF(L320=0,0,K320/L320)</f>
        <v>0</v>
      </c>
    </row>
    <row r="321" spans="1:13" x14ac:dyDescent="0.2">
      <c r="A321" s="164"/>
      <c r="B321" s="164"/>
      <c r="C321" s="160"/>
      <c r="D321" s="172" t="s">
        <v>245</v>
      </c>
      <c r="E321" s="158">
        <v>45806</v>
      </c>
      <c r="F321" s="166" t="s">
        <v>128</v>
      </c>
      <c r="G321" s="166">
        <v>6.7000000000000004E-2</v>
      </c>
      <c r="H321" s="166">
        <v>6.93E-2</v>
      </c>
      <c r="I321" s="178">
        <v>6.7000000000000004E-2</v>
      </c>
      <c r="J321" s="178">
        <v>6.7000000000000004E-2</v>
      </c>
      <c r="K321" s="256">
        <v>3756000</v>
      </c>
      <c r="L321" s="257">
        <v>1000000</v>
      </c>
      <c r="M321" s="170">
        <f t="shared" ref="M321:M326" si="53">IF(L321=0,0,K321/L321)</f>
        <v>3.7559999999999998</v>
      </c>
    </row>
    <row r="322" spans="1:13" x14ac:dyDescent="0.2">
      <c r="A322" s="164"/>
      <c r="B322" s="158"/>
      <c r="C322" s="160"/>
      <c r="D322" s="172" t="s">
        <v>150</v>
      </c>
      <c r="E322" s="158">
        <v>46218</v>
      </c>
      <c r="F322" s="166">
        <v>4.8750000000000002E-2</v>
      </c>
      <c r="G322" s="166">
        <v>6.7000000000000004E-2</v>
      </c>
      <c r="H322" s="166">
        <v>6.9500000000000006E-2</v>
      </c>
      <c r="I322" s="175">
        <v>6.7236699999999996E-2</v>
      </c>
      <c r="J322" s="175">
        <v>6.7400000000000002E-2</v>
      </c>
      <c r="K322" s="256">
        <v>6376000</v>
      </c>
      <c r="L322" s="256">
        <v>2100000</v>
      </c>
      <c r="M322" s="170">
        <f t="shared" si="53"/>
        <v>3.0361904761904763</v>
      </c>
    </row>
    <row r="323" spans="1:13" x14ac:dyDescent="0.2">
      <c r="A323" s="156"/>
      <c r="B323" s="156"/>
      <c r="C323" s="156"/>
      <c r="D323" s="2" t="s">
        <v>151</v>
      </c>
      <c r="E323" s="158">
        <v>46949</v>
      </c>
      <c r="F323" s="177">
        <v>5.8749999999999997E-2</v>
      </c>
      <c r="G323" s="166">
        <v>6.7000000000000004E-2</v>
      </c>
      <c r="H323" s="166">
        <v>6.8699999999999997E-2</v>
      </c>
      <c r="I323" s="175">
        <v>6.7305500000000004E-2</v>
      </c>
      <c r="J323" s="175">
        <v>6.7500000000000004E-2</v>
      </c>
      <c r="K323" s="256">
        <v>2305500</v>
      </c>
      <c r="L323" s="256">
        <v>1950000</v>
      </c>
      <c r="M323" s="170">
        <f t="shared" si="53"/>
        <v>1.1823076923076923</v>
      </c>
    </row>
    <row r="324" spans="1:13" x14ac:dyDescent="0.2">
      <c r="A324" s="181"/>
      <c r="B324" s="156"/>
      <c r="C324" s="182"/>
      <c r="D324" s="172" t="s">
        <v>139</v>
      </c>
      <c r="E324" s="158">
        <v>47376</v>
      </c>
      <c r="F324" s="166">
        <v>6.6250000000000003E-2</v>
      </c>
      <c r="G324" s="166">
        <v>6.7299999999999999E-2</v>
      </c>
      <c r="H324" s="166">
        <v>6.9000000000000006E-2</v>
      </c>
      <c r="I324" s="175">
        <v>6.7498900000000001E-2</v>
      </c>
      <c r="J324" s="175">
        <v>6.7599999999999993E-2</v>
      </c>
      <c r="K324" s="256">
        <v>4093500</v>
      </c>
      <c r="L324" s="256">
        <v>1250000</v>
      </c>
      <c r="M324" s="170">
        <f t="shared" si="53"/>
        <v>3.2747999999999999</v>
      </c>
    </row>
    <row r="325" spans="1:13" x14ac:dyDescent="0.2">
      <c r="A325" s="181"/>
      <c r="B325" s="156"/>
      <c r="C325" s="182"/>
      <c r="D325" s="172" t="s">
        <v>53</v>
      </c>
      <c r="E325" s="158">
        <v>50086</v>
      </c>
      <c r="F325" s="166">
        <v>6.0999999999999999E-2</v>
      </c>
      <c r="G325" s="166">
        <v>6.9000000000000006E-2</v>
      </c>
      <c r="H325" s="166">
        <v>7.0999999999999994E-2</v>
      </c>
      <c r="I325" s="175">
        <v>6.9581500000000004E-2</v>
      </c>
      <c r="J325" s="175">
        <v>7.0000000000000007E-2</v>
      </c>
      <c r="K325" s="256">
        <v>801500</v>
      </c>
      <c r="L325" s="256">
        <v>650000</v>
      </c>
      <c r="M325" s="170">
        <f t="shared" si="53"/>
        <v>1.2330769230769232</v>
      </c>
    </row>
    <row r="326" spans="1:13" x14ac:dyDescent="0.2">
      <c r="A326" s="181"/>
      <c r="B326" s="156"/>
      <c r="C326" s="182"/>
      <c r="D326" s="172" t="s">
        <v>142</v>
      </c>
      <c r="E326" s="158">
        <v>54772</v>
      </c>
      <c r="F326" s="166">
        <v>6.8750000000000006E-2</v>
      </c>
      <c r="G326" s="166">
        <v>7.0900000000000005E-2</v>
      </c>
      <c r="H326" s="166">
        <v>7.1900000000000006E-2</v>
      </c>
      <c r="I326" s="175">
        <v>7.0998900000000004E-2</v>
      </c>
      <c r="J326" s="175">
        <v>7.0999999999999994E-2</v>
      </c>
      <c r="K326" s="256">
        <v>5303100</v>
      </c>
      <c r="L326" s="256">
        <v>1050000</v>
      </c>
      <c r="M326" s="170">
        <f t="shared" si="53"/>
        <v>5.0505714285714287</v>
      </c>
    </row>
    <row r="327" spans="1:13" x14ac:dyDescent="0.2">
      <c r="A327" s="315" t="s">
        <v>121</v>
      </c>
      <c r="B327" s="316"/>
      <c r="C327" s="316"/>
      <c r="D327" s="316"/>
      <c r="E327" s="316"/>
      <c r="F327" s="316"/>
      <c r="G327" s="316"/>
      <c r="H327" s="316"/>
      <c r="I327" s="316"/>
      <c r="J327" s="317"/>
      <c r="K327" s="255">
        <f>SUM(K320:K326)</f>
        <v>24687600</v>
      </c>
      <c r="L327" s="255">
        <f>SUM(L320:L326)</f>
        <v>8000000</v>
      </c>
      <c r="M327" s="165"/>
    </row>
    <row r="328" spans="1:13" ht="12" customHeight="1" outlineLevel="1" x14ac:dyDescent="0.2">
      <c r="A328" s="198">
        <v>45510</v>
      </c>
      <c r="B328" s="215">
        <v>45512</v>
      </c>
      <c r="C328" s="199" t="s">
        <v>136</v>
      </c>
      <c r="D328" s="184" t="s">
        <v>247</v>
      </c>
      <c r="E328" s="185">
        <v>45602</v>
      </c>
      <c r="F328" s="186" t="s">
        <v>128</v>
      </c>
      <c r="G328" s="202">
        <v>6.7000000000000004E-2</v>
      </c>
      <c r="H328" s="202">
        <v>6.7000000000000004E-2</v>
      </c>
      <c r="I328" s="194" t="s">
        <v>130</v>
      </c>
      <c r="J328" s="194" t="s">
        <v>130</v>
      </c>
      <c r="K328" s="216">
        <v>2025000</v>
      </c>
      <c r="L328" s="216">
        <v>0</v>
      </c>
      <c r="M328" s="188">
        <f t="shared" ref="M328:M335" si="54">IF(L328=0,0,K328/L328)</f>
        <v>0</v>
      </c>
    </row>
    <row r="329" spans="1:13" ht="12" customHeight="1" outlineLevel="1" x14ac:dyDescent="0.2">
      <c r="A329" s="198"/>
      <c r="B329" s="183"/>
      <c r="C329" s="199"/>
      <c r="D329" s="184" t="s">
        <v>248</v>
      </c>
      <c r="E329" s="185">
        <v>45876</v>
      </c>
      <c r="F329" s="186" t="s">
        <v>128</v>
      </c>
      <c r="G329" s="186">
        <v>6.5299999999999997E-2</v>
      </c>
      <c r="H329" s="202">
        <v>6.7000000000000004E-2</v>
      </c>
      <c r="I329" s="202">
        <v>6.5484000000000001E-2</v>
      </c>
      <c r="J329" s="203">
        <v>6.5500000000000003E-2</v>
      </c>
      <c r="K329" s="216">
        <v>4837000</v>
      </c>
      <c r="L329" s="216">
        <v>2000000</v>
      </c>
      <c r="M329" s="188">
        <f t="shared" si="54"/>
        <v>2.4184999999999999</v>
      </c>
    </row>
    <row r="330" spans="1:13" ht="12.75" customHeight="1" outlineLevel="1" x14ac:dyDescent="0.2">
      <c r="A330" s="198"/>
      <c r="B330" s="185"/>
      <c r="C330" s="199"/>
      <c r="D330" s="184" t="s">
        <v>141</v>
      </c>
      <c r="E330" s="185">
        <v>47223</v>
      </c>
      <c r="F330" s="186">
        <v>6.8750000000000006E-2</v>
      </c>
      <c r="G330" s="186">
        <v>6.6299999999999998E-2</v>
      </c>
      <c r="H330" s="186">
        <v>6.8000000000000005E-2</v>
      </c>
      <c r="I330" s="187">
        <v>6.6597100000000006E-2</v>
      </c>
      <c r="J330" s="195">
        <v>6.6699999999999995E-2</v>
      </c>
      <c r="K330" s="216">
        <v>10628500</v>
      </c>
      <c r="L330" s="216">
        <v>3850000</v>
      </c>
      <c r="M330" s="188">
        <f t="shared" si="54"/>
        <v>2.7606493506493508</v>
      </c>
    </row>
    <row r="331" spans="1:13" ht="12.75" customHeight="1" outlineLevel="1" x14ac:dyDescent="0.2">
      <c r="A331" s="191"/>
      <c r="B331" s="189"/>
      <c r="C331" s="192"/>
      <c r="D331" s="184" t="s">
        <v>162</v>
      </c>
      <c r="E331" s="185">
        <v>47771</v>
      </c>
      <c r="F331" s="186">
        <v>7.3749999999999996E-2</v>
      </c>
      <c r="G331" s="186">
        <v>6.7000000000000004E-2</v>
      </c>
      <c r="H331" s="186">
        <v>7.0000000000000007E-2</v>
      </c>
      <c r="I331" s="202">
        <v>6.7000000000000004E-2</v>
      </c>
      <c r="J331" s="202">
        <v>6.7000000000000004E-2</v>
      </c>
      <c r="K331" s="216">
        <v>1038000</v>
      </c>
      <c r="L331" s="219">
        <v>550000</v>
      </c>
      <c r="M331" s="188">
        <f t="shared" si="54"/>
        <v>1.8872727272727272</v>
      </c>
    </row>
    <row r="332" spans="1:13" ht="12.75" customHeight="1" outlineLevel="1" x14ac:dyDescent="0.2">
      <c r="A332" s="191"/>
      <c r="B332" s="189"/>
      <c r="C332" s="192"/>
      <c r="D332" s="184" t="s">
        <v>249</v>
      </c>
      <c r="E332" s="185">
        <v>49505</v>
      </c>
      <c r="F332" s="186">
        <v>6.7500000000000004E-2</v>
      </c>
      <c r="G332" s="186">
        <v>6.7500000000000004E-2</v>
      </c>
      <c r="H332" s="186">
        <v>6.9500000000000006E-2</v>
      </c>
      <c r="I332" s="196">
        <v>6.8120100000000003E-2</v>
      </c>
      <c r="J332" s="197">
        <v>6.83E-2</v>
      </c>
      <c r="K332" s="216">
        <v>37103200</v>
      </c>
      <c r="L332" s="216">
        <v>10650000</v>
      </c>
      <c r="M332" s="188">
        <f t="shared" si="54"/>
        <v>3.4838685446009388</v>
      </c>
    </row>
    <row r="333" spans="1:13" ht="12.75" customHeight="1" outlineLevel="1" x14ac:dyDescent="0.2">
      <c r="A333" s="191"/>
      <c r="B333" s="189"/>
      <c r="C333" s="192"/>
      <c r="D333" s="184" t="s">
        <v>138</v>
      </c>
      <c r="E333" s="185">
        <v>50571</v>
      </c>
      <c r="F333" s="186">
        <v>7.1249999999999994E-2</v>
      </c>
      <c r="G333" s="186">
        <v>6.9400000000000003E-2</v>
      </c>
      <c r="H333" s="186">
        <v>7.1499999999999994E-2</v>
      </c>
      <c r="I333" s="187">
        <v>6.9595000000000004E-2</v>
      </c>
      <c r="J333" s="197">
        <v>6.9699999999999998E-2</v>
      </c>
      <c r="K333" s="216">
        <v>5529500</v>
      </c>
      <c r="L333" s="216">
        <v>2600000</v>
      </c>
      <c r="M333" s="188">
        <f t="shared" si="54"/>
        <v>2.1267307692307691</v>
      </c>
    </row>
    <row r="334" spans="1:13" ht="12.75" customHeight="1" outlineLevel="1" x14ac:dyDescent="0.2">
      <c r="A334" s="191"/>
      <c r="B334" s="189"/>
      <c r="C334" s="192"/>
      <c r="D334" s="184" t="s">
        <v>137</v>
      </c>
      <c r="E334" s="185">
        <v>52397</v>
      </c>
      <c r="F334" s="186">
        <v>7.1249999999999994E-2</v>
      </c>
      <c r="G334" s="186">
        <v>6.9599999999999995E-2</v>
      </c>
      <c r="H334" s="186">
        <v>7.1499999999999994E-2</v>
      </c>
      <c r="I334" s="187">
        <v>7.0094799999999999E-2</v>
      </c>
      <c r="J334" s="195">
        <v>7.0300000000000001E-2</v>
      </c>
      <c r="K334" s="220">
        <v>3630800</v>
      </c>
      <c r="L334" s="220">
        <v>1850000</v>
      </c>
      <c r="M334" s="188">
        <f t="shared" si="54"/>
        <v>1.9625945945945946</v>
      </c>
    </row>
    <row r="335" spans="1:13" ht="12.75" customHeight="1" outlineLevel="1" x14ac:dyDescent="0.2">
      <c r="A335" s="191"/>
      <c r="B335" s="200"/>
      <c r="C335" s="192"/>
      <c r="D335" s="184" t="s">
        <v>146</v>
      </c>
      <c r="E335" s="185">
        <v>56445</v>
      </c>
      <c r="F335" s="186">
        <v>6.8750000000000006E-2</v>
      </c>
      <c r="G335" s="186">
        <v>6.9699999999999998E-2</v>
      </c>
      <c r="H335" s="186">
        <v>7.0999999999999994E-2</v>
      </c>
      <c r="I335" s="197">
        <v>7.0191900000000002E-2</v>
      </c>
      <c r="J335" s="196">
        <v>7.0400000000000004E-2</v>
      </c>
      <c r="K335" s="220">
        <v>2201800</v>
      </c>
      <c r="L335" s="220">
        <v>1500000</v>
      </c>
      <c r="M335" s="201">
        <f t="shared" si="54"/>
        <v>1.4678666666666667</v>
      </c>
    </row>
    <row r="336" spans="1:13" s="1" customFormat="1" ht="12.75" customHeight="1" outlineLevel="1" x14ac:dyDescent="0.2">
      <c r="A336" s="321" t="s">
        <v>121</v>
      </c>
      <c r="B336" s="322"/>
      <c r="C336" s="323"/>
      <c r="D336" s="323"/>
      <c r="E336" s="323"/>
      <c r="F336" s="323"/>
      <c r="G336" s="323"/>
      <c r="H336" s="323"/>
      <c r="I336" s="323"/>
      <c r="J336" s="324"/>
      <c r="K336" s="190">
        <f>SUM(K328:K335)</f>
        <v>66993800</v>
      </c>
      <c r="L336" s="190">
        <f>SUM(L328:L335)</f>
        <v>23000000</v>
      </c>
      <c r="M336" s="193"/>
    </row>
    <row r="337" spans="1:13" x14ac:dyDescent="0.2">
      <c r="A337" s="284">
        <v>45516</v>
      </c>
      <c r="B337" s="284">
        <v>45519</v>
      </c>
      <c r="C337" s="280" t="s">
        <v>172</v>
      </c>
      <c r="D337" s="281" t="s">
        <v>250</v>
      </c>
      <c r="E337" s="284">
        <v>53858</v>
      </c>
      <c r="F337" s="282">
        <v>6.7500000000000004E-2</v>
      </c>
      <c r="G337" s="283" t="s">
        <v>130</v>
      </c>
      <c r="H337" s="283" t="s">
        <v>130</v>
      </c>
      <c r="I337" s="282">
        <v>6.7500000000000004E-2</v>
      </c>
      <c r="J337" s="277" t="s">
        <v>130</v>
      </c>
      <c r="K337" s="278">
        <v>600000</v>
      </c>
      <c r="L337" s="278">
        <f t="shared" ref="L337" si="55">K337</f>
        <v>600000</v>
      </c>
      <c r="M337" s="279">
        <f t="shared" ref="M337" si="56">IF(L337=0,0,K337/L337)</f>
        <v>1</v>
      </c>
    </row>
    <row r="338" spans="1:13" x14ac:dyDescent="0.2">
      <c r="A338" s="315" t="s">
        <v>121</v>
      </c>
      <c r="B338" s="316"/>
      <c r="C338" s="316"/>
      <c r="D338" s="316"/>
      <c r="E338" s="316"/>
      <c r="F338" s="316"/>
      <c r="G338" s="316"/>
      <c r="H338" s="316"/>
      <c r="I338" s="316"/>
      <c r="J338" s="317"/>
      <c r="K338" s="255">
        <f>K337</f>
        <v>600000</v>
      </c>
      <c r="L338" s="255">
        <f>L337</f>
        <v>600000</v>
      </c>
      <c r="M338" s="165"/>
    </row>
    <row r="339" spans="1:13" x14ac:dyDescent="0.2">
      <c r="A339" s="164">
        <v>45517</v>
      </c>
      <c r="B339" s="164">
        <v>45519</v>
      </c>
      <c r="C339" s="160" t="s">
        <v>136</v>
      </c>
      <c r="D339" s="172" t="s">
        <v>203</v>
      </c>
      <c r="E339" s="158">
        <v>45690</v>
      </c>
      <c r="F339" s="166" t="s">
        <v>128</v>
      </c>
      <c r="G339" s="258">
        <v>6.4500000000000002E-2</v>
      </c>
      <c r="H339" s="166">
        <v>6.6500000000000004E-2</v>
      </c>
      <c r="I339" s="166">
        <v>6.4500000000000002E-2</v>
      </c>
      <c r="J339" s="166">
        <v>6.4500000000000002E-2</v>
      </c>
      <c r="K339" s="256">
        <v>2256000</v>
      </c>
      <c r="L339" s="257">
        <v>800000</v>
      </c>
      <c r="M339" s="170">
        <f>IF(L339=0,0,K339/L339)</f>
        <v>2.82</v>
      </c>
    </row>
    <row r="340" spans="1:13" x14ac:dyDescent="0.2">
      <c r="A340" s="164"/>
      <c r="B340" s="164"/>
      <c r="C340" s="160"/>
      <c r="D340" s="172" t="s">
        <v>245</v>
      </c>
      <c r="E340" s="158">
        <v>45441</v>
      </c>
      <c r="F340" s="166" t="s">
        <v>128</v>
      </c>
      <c r="G340" s="166">
        <v>6.5500000000000003E-2</v>
      </c>
      <c r="H340" s="166">
        <v>6.7000000000000004E-2</v>
      </c>
      <c r="I340" s="178">
        <v>6.5600000000000006E-2</v>
      </c>
      <c r="J340" s="180">
        <v>6.6000000000000003E-2</v>
      </c>
      <c r="K340" s="256">
        <v>3460000</v>
      </c>
      <c r="L340" s="257">
        <v>550000</v>
      </c>
      <c r="M340" s="170">
        <f t="shared" ref="M340:M345" si="57">IF(L340=0,0,K340/L340)</f>
        <v>6.290909090909091</v>
      </c>
    </row>
    <row r="341" spans="1:13" x14ac:dyDescent="0.2">
      <c r="A341" s="164"/>
      <c r="B341" s="158"/>
      <c r="C341" s="160"/>
      <c r="D341" s="172" t="s">
        <v>150</v>
      </c>
      <c r="E341" s="158">
        <v>46218</v>
      </c>
      <c r="F341" s="166">
        <v>4.8750000000000002E-2</v>
      </c>
      <c r="G341" s="166">
        <v>6.5699999999999995E-2</v>
      </c>
      <c r="H341" s="166">
        <v>6.8000000000000005E-2</v>
      </c>
      <c r="I341" s="175">
        <v>6.6698800000000003E-2</v>
      </c>
      <c r="J341" s="180">
        <v>6.7000000000000004E-2</v>
      </c>
      <c r="K341" s="256">
        <v>5014000</v>
      </c>
      <c r="L341" s="256">
        <v>1000000</v>
      </c>
      <c r="M341" s="170">
        <f t="shared" si="57"/>
        <v>5.0140000000000002</v>
      </c>
    </row>
    <row r="342" spans="1:13" x14ac:dyDescent="0.2">
      <c r="A342" s="156"/>
      <c r="B342" s="156"/>
      <c r="C342" s="156"/>
      <c r="D342" s="2" t="s">
        <v>151</v>
      </c>
      <c r="E342" s="158">
        <v>46949</v>
      </c>
      <c r="F342" s="177">
        <v>5.8749999999999997E-2</v>
      </c>
      <c r="G342" s="166">
        <v>6.6100000000000006E-2</v>
      </c>
      <c r="H342" s="166">
        <v>7.0000000000000007E-2</v>
      </c>
      <c r="I342" s="175">
        <v>6.6675700000000004E-2</v>
      </c>
      <c r="J342" s="166">
        <v>6.7000000000000004E-2</v>
      </c>
      <c r="K342" s="256">
        <v>2853000</v>
      </c>
      <c r="L342" s="256">
        <v>2650000</v>
      </c>
      <c r="M342" s="170">
        <f t="shared" si="57"/>
        <v>1.0766037735849057</v>
      </c>
    </row>
    <row r="343" spans="1:13" x14ac:dyDescent="0.2">
      <c r="A343" s="181"/>
      <c r="B343" s="156"/>
      <c r="C343" s="182"/>
      <c r="D343" s="2" t="s">
        <v>53</v>
      </c>
      <c r="E343" s="158">
        <v>50086</v>
      </c>
      <c r="F343" s="177">
        <v>6.0999999999999999E-2</v>
      </c>
      <c r="G343" s="166">
        <v>6.7900000000000002E-2</v>
      </c>
      <c r="H343" s="166">
        <v>7.0199999999999999E-2</v>
      </c>
      <c r="I343" s="175">
        <v>6.8662200000000007E-2</v>
      </c>
      <c r="J343" s="166">
        <v>6.93E-2</v>
      </c>
      <c r="K343" s="256">
        <v>1112700</v>
      </c>
      <c r="L343" s="256">
        <v>900000</v>
      </c>
      <c r="M343" s="170">
        <f t="shared" si="57"/>
        <v>1.2363333333333333</v>
      </c>
    </row>
    <row r="344" spans="1:13" x14ac:dyDescent="0.2">
      <c r="A344" s="181"/>
      <c r="B344" s="156"/>
      <c r="C344" s="182"/>
      <c r="D344" s="2" t="s">
        <v>152</v>
      </c>
      <c r="E344" s="158">
        <v>51697</v>
      </c>
      <c r="F344" s="177">
        <v>6.6250000000000003E-2</v>
      </c>
      <c r="G344" s="166">
        <v>6.83E-2</v>
      </c>
      <c r="H344" s="166">
        <v>6.9699999999999998E-2</v>
      </c>
      <c r="I344" s="175">
        <v>6.9169999999999995E-2</v>
      </c>
      <c r="J344" s="166">
        <v>6.9599999999999995E-2</v>
      </c>
      <c r="K344" s="256">
        <v>160000</v>
      </c>
      <c r="L344" s="256">
        <v>150000</v>
      </c>
      <c r="M344" s="170">
        <f t="shared" si="57"/>
        <v>1.0666666666666667</v>
      </c>
    </row>
    <row r="345" spans="1:13" x14ac:dyDescent="0.2">
      <c r="A345" s="181"/>
      <c r="B345" s="156"/>
      <c r="C345" s="182"/>
      <c r="D345" s="172" t="s">
        <v>142</v>
      </c>
      <c r="E345" s="158">
        <v>54772</v>
      </c>
      <c r="F345" s="166">
        <v>6.8750000000000006E-2</v>
      </c>
      <c r="G345" s="166">
        <v>7.0000000000000007E-2</v>
      </c>
      <c r="H345" s="166">
        <v>7.1999999999999995E-2</v>
      </c>
      <c r="I345" s="175">
        <v>7.03955E-2</v>
      </c>
      <c r="J345" s="175">
        <v>7.0699999999999999E-2</v>
      </c>
      <c r="K345" s="256">
        <v>3112500</v>
      </c>
      <c r="L345" s="256">
        <v>1950000</v>
      </c>
      <c r="M345" s="170">
        <f t="shared" si="57"/>
        <v>1.5961538461538463</v>
      </c>
    </row>
    <row r="346" spans="1:13" x14ac:dyDescent="0.2">
      <c r="A346" s="315" t="s">
        <v>121</v>
      </c>
      <c r="B346" s="316"/>
      <c r="C346" s="316"/>
      <c r="D346" s="316"/>
      <c r="E346" s="316"/>
      <c r="F346" s="316"/>
      <c r="G346" s="316"/>
      <c r="H346" s="316"/>
      <c r="I346" s="316"/>
      <c r="J346" s="317"/>
      <c r="K346" s="255">
        <f>SUM(K339:K345)</f>
        <v>17968200</v>
      </c>
      <c r="L346" s="255">
        <f>SUM(L339:L345)</f>
        <v>8000000</v>
      </c>
      <c r="M346" s="165"/>
    </row>
    <row r="347" spans="1:13" ht="12" customHeight="1" outlineLevel="1" x14ac:dyDescent="0.2">
      <c r="A347" s="198">
        <v>45524</v>
      </c>
      <c r="B347" s="215">
        <v>45526</v>
      </c>
      <c r="C347" s="199" t="s">
        <v>136</v>
      </c>
      <c r="D347" s="184" t="s">
        <v>252</v>
      </c>
      <c r="E347" s="185">
        <v>45616</v>
      </c>
      <c r="F347" s="186" t="s">
        <v>128</v>
      </c>
      <c r="G347" s="202">
        <v>6.4500000000000002E-2</v>
      </c>
      <c r="H347" s="202">
        <v>6.4699999999999994E-2</v>
      </c>
      <c r="I347" s="194" t="s">
        <v>130</v>
      </c>
      <c r="J347" s="194" t="s">
        <v>130</v>
      </c>
      <c r="K347" s="216">
        <v>2028000</v>
      </c>
      <c r="L347" s="216">
        <v>0</v>
      </c>
      <c r="M347" s="188">
        <f t="shared" ref="M347:M353" si="58">IF(L347=0,0,K347/L347)</f>
        <v>0</v>
      </c>
    </row>
    <row r="348" spans="1:13" ht="12" customHeight="1" outlineLevel="1" x14ac:dyDescent="0.2">
      <c r="A348" s="198"/>
      <c r="B348" s="183"/>
      <c r="C348" s="199"/>
      <c r="D348" s="184" t="s">
        <v>248</v>
      </c>
      <c r="E348" s="185">
        <v>45876</v>
      </c>
      <c r="F348" s="186" t="s">
        <v>128</v>
      </c>
      <c r="G348" s="186">
        <v>6.4299999999999996E-2</v>
      </c>
      <c r="H348" s="202">
        <v>6.5600000000000006E-2</v>
      </c>
      <c r="I348" s="202">
        <v>6.4299999999999996E-2</v>
      </c>
      <c r="J348" s="202">
        <v>6.4299999999999996E-2</v>
      </c>
      <c r="K348" s="216">
        <v>5660000</v>
      </c>
      <c r="L348" s="216">
        <v>1200000</v>
      </c>
      <c r="M348" s="188">
        <f t="shared" si="58"/>
        <v>4.7166666666666668</v>
      </c>
    </row>
    <row r="349" spans="1:13" ht="12.75" customHeight="1" outlineLevel="1" x14ac:dyDescent="0.2">
      <c r="A349" s="198"/>
      <c r="B349" s="185"/>
      <c r="C349" s="199"/>
      <c r="D349" s="184" t="s">
        <v>251</v>
      </c>
      <c r="E349" s="185">
        <v>47679</v>
      </c>
      <c r="F349" s="186">
        <v>6.5000000000000002E-2</v>
      </c>
      <c r="G349" s="186">
        <v>6.4500000000000002E-2</v>
      </c>
      <c r="H349" s="186">
        <v>6.7000000000000004E-2</v>
      </c>
      <c r="I349" s="187">
        <v>6.5010200000000004E-2</v>
      </c>
      <c r="J349" s="195">
        <v>6.5100000000000005E-2</v>
      </c>
      <c r="K349" s="216">
        <v>50588700</v>
      </c>
      <c r="L349" s="216">
        <v>11000000</v>
      </c>
      <c r="M349" s="188">
        <f t="shared" si="58"/>
        <v>4.5989727272727272</v>
      </c>
    </row>
    <row r="350" spans="1:13" ht="12.75" customHeight="1" outlineLevel="1" x14ac:dyDescent="0.2">
      <c r="A350" s="191"/>
      <c r="B350" s="189"/>
      <c r="C350" s="192"/>
      <c r="D350" s="184" t="s">
        <v>249</v>
      </c>
      <c r="E350" s="185">
        <v>49505</v>
      </c>
      <c r="F350" s="186">
        <v>6.7500000000000004E-2</v>
      </c>
      <c r="G350" s="186">
        <v>6.6299999999999998E-2</v>
      </c>
      <c r="H350" s="186">
        <v>6.7799999999999999E-2</v>
      </c>
      <c r="I350" s="196">
        <v>6.6599800000000001E-2</v>
      </c>
      <c r="J350" s="197">
        <v>6.6699999999999995E-2</v>
      </c>
      <c r="K350" s="216">
        <v>30617000</v>
      </c>
      <c r="L350" s="216">
        <v>11700000</v>
      </c>
      <c r="M350" s="188">
        <f t="shared" si="58"/>
        <v>2.6168376068376067</v>
      </c>
    </row>
    <row r="351" spans="1:13" ht="12.75" customHeight="1" outlineLevel="1" x14ac:dyDescent="0.2">
      <c r="A351" s="191"/>
      <c r="B351" s="189"/>
      <c r="C351" s="192"/>
      <c r="D351" s="184" t="s">
        <v>138</v>
      </c>
      <c r="E351" s="185">
        <v>50571</v>
      </c>
      <c r="F351" s="186">
        <v>7.1249999999999994E-2</v>
      </c>
      <c r="G351" s="186">
        <v>6.7299999999999999E-2</v>
      </c>
      <c r="H351" s="186">
        <v>7.0000000000000007E-2</v>
      </c>
      <c r="I351" s="187">
        <v>6.7397200000000004E-2</v>
      </c>
      <c r="J351" s="197">
        <v>6.7500000000000004E-2</v>
      </c>
      <c r="K351" s="216">
        <v>4982400</v>
      </c>
      <c r="L351" s="216">
        <v>600000</v>
      </c>
      <c r="M351" s="188">
        <f t="shared" si="58"/>
        <v>8.3040000000000003</v>
      </c>
    </row>
    <row r="352" spans="1:13" ht="12.75" customHeight="1" outlineLevel="1" x14ac:dyDescent="0.2">
      <c r="A352" s="191"/>
      <c r="B352" s="189"/>
      <c r="C352" s="192"/>
      <c r="D352" s="184" t="s">
        <v>137</v>
      </c>
      <c r="E352" s="185">
        <v>52397</v>
      </c>
      <c r="F352" s="186">
        <v>7.1249999999999994E-2</v>
      </c>
      <c r="G352" s="186">
        <v>6.8099999999999994E-2</v>
      </c>
      <c r="H352" s="186">
        <v>7.0000000000000007E-2</v>
      </c>
      <c r="I352" s="187">
        <v>6.8599800000000002E-2</v>
      </c>
      <c r="J352" s="195">
        <v>6.8699999999999997E-2</v>
      </c>
      <c r="K352" s="220">
        <v>6206800</v>
      </c>
      <c r="L352" s="220">
        <v>2300000</v>
      </c>
      <c r="M352" s="188">
        <f t="shared" si="58"/>
        <v>2.6986086956521738</v>
      </c>
    </row>
    <row r="353" spans="1:13" ht="12.75" customHeight="1" outlineLevel="1" x14ac:dyDescent="0.2">
      <c r="A353" s="191"/>
      <c r="B353" s="200"/>
      <c r="C353" s="192"/>
      <c r="D353" s="184" t="s">
        <v>146</v>
      </c>
      <c r="E353" s="185">
        <v>56445</v>
      </c>
      <c r="F353" s="186">
        <v>6.8750000000000006E-2</v>
      </c>
      <c r="G353" s="186">
        <v>6.8699999999999997E-2</v>
      </c>
      <c r="H353" s="186">
        <v>7.0000000000000007E-2</v>
      </c>
      <c r="I353" s="197">
        <v>6.8882100000000002E-2</v>
      </c>
      <c r="J353" s="196">
        <v>6.9099999999999995E-2</v>
      </c>
      <c r="K353" s="220">
        <v>3991500</v>
      </c>
      <c r="L353" s="220">
        <v>200000</v>
      </c>
      <c r="M353" s="201">
        <f t="shared" si="58"/>
        <v>19.9575</v>
      </c>
    </row>
    <row r="354" spans="1:13" s="1" customFormat="1" ht="12.75" customHeight="1" outlineLevel="1" x14ac:dyDescent="0.2">
      <c r="A354" s="321" t="s">
        <v>121</v>
      </c>
      <c r="B354" s="322"/>
      <c r="C354" s="323"/>
      <c r="D354" s="323"/>
      <c r="E354" s="323"/>
      <c r="F354" s="323"/>
      <c r="G354" s="323"/>
      <c r="H354" s="323"/>
      <c r="I354" s="323"/>
      <c r="J354" s="324"/>
      <c r="K354" s="190">
        <f>SUM(K347:K353)</f>
        <v>104074400</v>
      </c>
      <c r="L354" s="190">
        <f>SUM(L347:L353)</f>
        <v>27000000</v>
      </c>
      <c r="M354" s="193"/>
    </row>
    <row r="355" spans="1:13" x14ac:dyDescent="0.2">
      <c r="A355" s="290">
        <v>45526</v>
      </c>
      <c r="B355" s="290">
        <v>45531</v>
      </c>
      <c r="C355" s="291" t="s">
        <v>172</v>
      </c>
      <c r="D355" s="292" t="s">
        <v>257</v>
      </c>
      <c r="E355" s="290">
        <v>60098</v>
      </c>
      <c r="F355" s="293">
        <v>6.8750000000000006E-2</v>
      </c>
      <c r="G355" s="294" t="s">
        <v>130</v>
      </c>
      <c r="H355" s="294" t="s">
        <v>130</v>
      </c>
      <c r="I355" s="293">
        <v>6.93E-2</v>
      </c>
      <c r="J355" s="228" t="s">
        <v>130</v>
      </c>
      <c r="K355" s="230">
        <v>3000000</v>
      </c>
      <c r="L355" s="230">
        <f t="shared" ref="L355" si="59">K355</f>
        <v>3000000</v>
      </c>
      <c r="M355" s="231">
        <f t="shared" ref="M355" si="60">IF(L355=0,0,K355/L355)</f>
        <v>1</v>
      </c>
    </row>
    <row r="356" spans="1:13" x14ac:dyDescent="0.2">
      <c r="A356" s="321" t="s">
        <v>121</v>
      </c>
      <c r="B356" s="323"/>
      <c r="C356" s="323"/>
      <c r="D356" s="323"/>
      <c r="E356" s="323"/>
      <c r="F356" s="323"/>
      <c r="G356" s="323"/>
      <c r="H356" s="323"/>
      <c r="I356" s="323"/>
      <c r="J356" s="324"/>
      <c r="K356" s="275">
        <f>K355</f>
        <v>3000000</v>
      </c>
      <c r="L356" s="275">
        <f>L355</f>
        <v>3000000</v>
      </c>
      <c r="M356" s="213"/>
    </row>
    <row r="357" spans="1:13" s="1" customFormat="1" ht="12.75" customHeight="1" outlineLevel="1" x14ac:dyDescent="0.2">
      <c r="A357" s="164">
        <v>45531</v>
      </c>
      <c r="B357" s="164">
        <v>45533</v>
      </c>
      <c r="C357" s="160" t="s">
        <v>136</v>
      </c>
      <c r="D357" s="172" t="s">
        <v>209</v>
      </c>
      <c r="E357" s="158">
        <v>45719</v>
      </c>
      <c r="F357" s="166" t="s">
        <v>128</v>
      </c>
      <c r="G357" s="258">
        <v>6.3E-2</v>
      </c>
      <c r="H357" s="166">
        <v>6.4000000000000001E-2</v>
      </c>
      <c r="I357" s="166">
        <v>6.3200000000000006E-2</v>
      </c>
      <c r="J357" s="166">
        <v>6.4000000000000001E-2</v>
      </c>
      <c r="K357" s="256">
        <v>2030000</v>
      </c>
      <c r="L357" s="257">
        <v>100000</v>
      </c>
      <c r="M357" s="170">
        <f>IF(L357=0,0,K357/L357)</f>
        <v>20.3</v>
      </c>
    </row>
    <row r="358" spans="1:13" s="1" customFormat="1" ht="12.75" customHeight="1" outlineLevel="1" x14ac:dyDescent="0.2">
      <c r="A358" s="164"/>
      <c r="B358" s="164"/>
      <c r="C358" s="160"/>
      <c r="D358" s="172" t="s">
        <v>245</v>
      </c>
      <c r="E358" s="158">
        <v>45806</v>
      </c>
      <c r="F358" s="166" t="s">
        <v>128</v>
      </c>
      <c r="G358" s="166">
        <v>6.4500000000000002E-2</v>
      </c>
      <c r="H358" s="166">
        <v>6.5000000000000002E-2</v>
      </c>
      <c r="I358" s="178">
        <v>6.4500000000000002E-2</v>
      </c>
      <c r="J358" s="178">
        <v>6.4500000000000002E-2</v>
      </c>
      <c r="K358" s="256">
        <v>3248000</v>
      </c>
      <c r="L358" s="257">
        <v>100000</v>
      </c>
      <c r="M358" s="170">
        <f t="shared" ref="M358:M363" si="61">IF(L358=0,0,K358/L358)</f>
        <v>32.479999999999997</v>
      </c>
    </row>
    <row r="359" spans="1:13" s="1" customFormat="1" ht="12.75" customHeight="1" outlineLevel="1" x14ac:dyDescent="0.2">
      <c r="A359" s="164"/>
      <c r="B359" s="158"/>
      <c r="C359" s="160"/>
      <c r="D359" s="172" t="s">
        <v>150</v>
      </c>
      <c r="E359" s="158">
        <v>46218</v>
      </c>
      <c r="F359" s="166">
        <v>4.8750000000000002E-2</v>
      </c>
      <c r="G359" s="166">
        <v>6.54E-2</v>
      </c>
      <c r="H359" s="166">
        <v>6.6699999999999995E-2</v>
      </c>
      <c r="I359" s="175">
        <v>6.5627900000000003E-2</v>
      </c>
      <c r="J359" s="175">
        <v>6.5699999999999995E-2</v>
      </c>
      <c r="K359" s="256">
        <v>5844500</v>
      </c>
      <c r="L359" s="256">
        <v>1700000</v>
      </c>
      <c r="M359" s="170">
        <f t="shared" si="61"/>
        <v>3.4379411764705883</v>
      </c>
    </row>
    <row r="360" spans="1:13" s="1" customFormat="1" ht="12.75" customHeight="1" outlineLevel="1" x14ac:dyDescent="0.2">
      <c r="A360" s="156"/>
      <c r="B360" s="156"/>
      <c r="C360" s="156"/>
      <c r="D360" s="2" t="s">
        <v>151</v>
      </c>
      <c r="E360" s="158">
        <v>46949</v>
      </c>
      <c r="F360" s="177">
        <v>5.8749999999999997E-2</v>
      </c>
      <c r="G360" s="166">
        <v>6.5100000000000005E-2</v>
      </c>
      <c r="H360" s="166">
        <v>6.7000000000000004E-2</v>
      </c>
      <c r="I360" s="175">
        <v>6.5435900000000005E-2</v>
      </c>
      <c r="J360" s="175">
        <v>6.6100000000000006E-2</v>
      </c>
      <c r="K360" s="256">
        <v>4693500</v>
      </c>
      <c r="L360" s="256">
        <v>3650000</v>
      </c>
      <c r="M360" s="170">
        <f t="shared" si="61"/>
        <v>1.2858904109589042</v>
      </c>
    </row>
    <row r="361" spans="1:13" s="1" customFormat="1" ht="12.75" customHeight="1" outlineLevel="1" x14ac:dyDescent="0.2">
      <c r="A361" s="181"/>
      <c r="B361" s="156"/>
      <c r="C361" s="182"/>
      <c r="D361" s="172" t="s">
        <v>139</v>
      </c>
      <c r="E361" s="158">
        <v>47376</v>
      </c>
      <c r="F361" s="166">
        <v>6.6250000000000003E-2</v>
      </c>
      <c r="G361" s="166">
        <v>6.5199999999999994E-2</v>
      </c>
      <c r="H361" s="166">
        <v>6.7000000000000004E-2</v>
      </c>
      <c r="I361" s="175">
        <v>6.5218399999999996E-2</v>
      </c>
      <c r="J361" s="175">
        <v>6.5299999999999997E-2</v>
      </c>
      <c r="K361" s="256">
        <v>2937000</v>
      </c>
      <c r="L361" s="256">
        <v>850000</v>
      </c>
      <c r="M361" s="170">
        <f t="shared" si="61"/>
        <v>3.4552941176470586</v>
      </c>
    </row>
    <row r="362" spans="1:13" s="1" customFormat="1" ht="12.75" customHeight="1" outlineLevel="1" x14ac:dyDescent="0.2">
      <c r="A362" s="181"/>
      <c r="B362" s="156"/>
      <c r="C362" s="182"/>
      <c r="D362" s="172" t="s">
        <v>53</v>
      </c>
      <c r="E362" s="158">
        <v>50086</v>
      </c>
      <c r="F362" s="166">
        <v>6.0999999999999999E-2</v>
      </c>
      <c r="G362" s="166">
        <v>6.7500000000000004E-2</v>
      </c>
      <c r="H362" s="166">
        <v>6.9000000000000006E-2</v>
      </c>
      <c r="I362" s="175">
        <v>6.7848599999999995E-2</v>
      </c>
      <c r="J362" s="175">
        <v>6.7900000000000002E-2</v>
      </c>
      <c r="K362" s="256">
        <v>912500</v>
      </c>
      <c r="L362" s="256">
        <v>100000</v>
      </c>
      <c r="M362" s="170">
        <f t="shared" si="61"/>
        <v>9.125</v>
      </c>
    </row>
    <row r="363" spans="1:13" s="1" customFormat="1" ht="12.75" customHeight="1" outlineLevel="1" x14ac:dyDescent="0.2">
      <c r="A363" s="181"/>
      <c r="B363" s="156"/>
      <c r="C363" s="182"/>
      <c r="D363" s="172" t="s">
        <v>142</v>
      </c>
      <c r="E363" s="158">
        <v>54772</v>
      </c>
      <c r="F363" s="166">
        <v>6.8750000000000006E-2</v>
      </c>
      <c r="G363" s="166">
        <v>6.93E-2</v>
      </c>
      <c r="H363" s="166">
        <v>7.0599999999999996E-2</v>
      </c>
      <c r="I363" s="175">
        <v>6.9771299999999994E-2</v>
      </c>
      <c r="J363" s="175">
        <v>6.9900000000000004E-2</v>
      </c>
      <c r="K363" s="256">
        <v>4222000</v>
      </c>
      <c r="L363" s="256">
        <v>1500000</v>
      </c>
      <c r="M363" s="170">
        <f t="shared" si="61"/>
        <v>2.8146666666666667</v>
      </c>
    </row>
    <row r="364" spans="1:13" x14ac:dyDescent="0.2">
      <c r="A364" s="315" t="s">
        <v>121</v>
      </c>
      <c r="B364" s="316"/>
      <c r="C364" s="316"/>
      <c r="D364" s="316"/>
      <c r="E364" s="316"/>
      <c r="F364" s="316"/>
      <c r="G364" s="316"/>
      <c r="H364" s="316"/>
      <c r="I364" s="316"/>
      <c r="J364" s="317"/>
      <c r="K364" s="255">
        <f>SUM(K357:K363)</f>
        <v>23887500</v>
      </c>
      <c r="L364" s="255">
        <f>SUM(L357:L363)</f>
        <v>8000000</v>
      </c>
      <c r="M364" s="165"/>
    </row>
    <row r="365" spans="1:13" x14ac:dyDescent="0.2">
      <c r="A365" s="318" t="s">
        <v>246</v>
      </c>
      <c r="B365" s="319"/>
      <c r="C365" s="319"/>
      <c r="D365" s="319"/>
      <c r="E365" s="319"/>
      <c r="F365" s="319"/>
      <c r="G365" s="319"/>
      <c r="H365" s="319"/>
      <c r="I365" s="319"/>
      <c r="J365" s="320"/>
      <c r="K365" s="173">
        <f>K327+K336+K338+K346+K354+K364+K356</f>
        <v>241211500</v>
      </c>
      <c r="L365" s="173">
        <f>L327+L336+L338+L346+L354+L364+L356</f>
        <v>77600000</v>
      </c>
      <c r="M365" s="105"/>
    </row>
    <row r="366" spans="1:13" x14ac:dyDescent="0.2">
      <c r="A366" s="318" t="s">
        <v>253</v>
      </c>
      <c r="B366" s="319"/>
      <c r="C366" s="319"/>
      <c r="D366" s="319"/>
      <c r="E366" s="319"/>
      <c r="F366" s="319"/>
      <c r="G366" s="319"/>
      <c r="H366" s="319"/>
      <c r="I366" s="319"/>
      <c r="J366" s="320"/>
      <c r="K366" s="173">
        <f>K319+K365</f>
        <v>1512144345</v>
      </c>
      <c r="L366" s="173">
        <f>L319+L365</f>
        <v>740025145</v>
      </c>
      <c r="M366" s="165"/>
    </row>
    <row r="367" spans="1:13" ht="12" customHeight="1" outlineLevel="1" x14ac:dyDescent="0.2">
      <c r="A367" s="198">
        <v>45538</v>
      </c>
      <c r="B367" s="215">
        <v>45540</v>
      </c>
      <c r="C367" s="199" t="s">
        <v>136</v>
      </c>
      <c r="D367" s="184" t="s">
        <v>255</v>
      </c>
      <c r="E367" s="185">
        <v>45630</v>
      </c>
      <c r="F367" s="186" t="s">
        <v>128</v>
      </c>
      <c r="G367" s="202">
        <v>6.3E-2</v>
      </c>
      <c r="H367" s="202">
        <v>6.4500000000000002E-2</v>
      </c>
      <c r="I367" s="194" t="s">
        <v>130</v>
      </c>
      <c r="J367" s="194" t="s">
        <v>130</v>
      </c>
      <c r="K367" s="216">
        <v>2040000</v>
      </c>
      <c r="L367" s="216">
        <v>0</v>
      </c>
      <c r="M367" s="188">
        <f t="shared" ref="M367:M373" si="62">IF(L367=0,0,K367/L367)</f>
        <v>0</v>
      </c>
    </row>
    <row r="368" spans="1:13" ht="12" customHeight="1" outlineLevel="1" x14ac:dyDescent="0.2">
      <c r="A368" s="198"/>
      <c r="B368" s="183"/>
      <c r="C368" s="199"/>
      <c r="D368" s="184" t="s">
        <v>256</v>
      </c>
      <c r="E368" s="185">
        <v>45904</v>
      </c>
      <c r="F368" s="186" t="s">
        <v>128</v>
      </c>
      <c r="G368" s="186">
        <v>6.4699999999999994E-2</v>
      </c>
      <c r="H368" s="287">
        <v>6.4699999999999994E-2</v>
      </c>
      <c r="I368" s="288" t="s">
        <v>130</v>
      </c>
      <c r="J368" s="202" t="s">
        <v>130</v>
      </c>
      <c r="K368" s="289">
        <v>3527000</v>
      </c>
      <c r="L368" s="216">
        <v>0</v>
      </c>
      <c r="M368" s="188">
        <f t="shared" si="62"/>
        <v>0</v>
      </c>
    </row>
    <row r="369" spans="1:13" ht="12.75" customHeight="1" outlineLevel="1" x14ac:dyDescent="0.2">
      <c r="A369" s="198"/>
      <c r="B369" s="185"/>
      <c r="C369" s="199"/>
      <c r="D369" s="184" t="s">
        <v>251</v>
      </c>
      <c r="E369" s="185">
        <v>47679</v>
      </c>
      <c r="F369" s="186">
        <v>6.5000000000000002E-2</v>
      </c>
      <c r="G369" s="186">
        <v>6.4299999999999996E-2</v>
      </c>
      <c r="H369" s="186">
        <v>6.6000000000000003E-2</v>
      </c>
      <c r="I369" s="187">
        <v>6.4651600000000004E-2</v>
      </c>
      <c r="J369" s="195">
        <v>6.5000000000000002E-2</v>
      </c>
      <c r="K369" s="216">
        <v>15161300</v>
      </c>
      <c r="L369" s="216">
        <v>8700000</v>
      </c>
      <c r="M369" s="188">
        <f t="shared" si="62"/>
        <v>1.7426781609195403</v>
      </c>
    </row>
    <row r="370" spans="1:13" ht="12.75" customHeight="1" outlineLevel="1" x14ac:dyDescent="0.2">
      <c r="A370" s="191"/>
      <c r="B370" s="189"/>
      <c r="C370" s="192"/>
      <c r="D370" s="184" t="s">
        <v>249</v>
      </c>
      <c r="E370" s="185">
        <v>49505</v>
      </c>
      <c r="F370" s="186">
        <v>6.7500000000000004E-2</v>
      </c>
      <c r="G370" s="186">
        <v>6.5699999999999995E-2</v>
      </c>
      <c r="H370" s="186">
        <v>6.8000000000000005E-2</v>
      </c>
      <c r="I370" s="196">
        <v>6.63995E-2</v>
      </c>
      <c r="J370" s="197">
        <v>6.6600000000000006E-2</v>
      </c>
      <c r="K370" s="216">
        <v>14307800</v>
      </c>
      <c r="L370" s="216">
        <v>9250000</v>
      </c>
      <c r="M370" s="188">
        <f t="shared" si="62"/>
        <v>1.5467891891891892</v>
      </c>
    </row>
    <row r="371" spans="1:13" ht="12.75" customHeight="1" outlineLevel="1" x14ac:dyDescent="0.2">
      <c r="A371" s="191"/>
      <c r="B371" s="189"/>
      <c r="C371" s="192"/>
      <c r="D371" s="184" t="s">
        <v>138</v>
      </c>
      <c r="E371" s="185">
        <v>50571</v>
      </c>
      <c r="F371" s="186">
        <v>7.1249999999999994E-2</v>
      </c>
      <c r="G371" s="186">
        <v>6.6500000000000004E-2</v>
      </c>
      <c r="H371" s="186">
        <v>6.8099999999999994E-2</v>
      </c>
      <c r="I371" s="187">
        <v>6.7064399999999996E-2</v>
      </c>
      <c r="J371" s="197">
        <v>6.7400000000000002E-2</v>
      </c>
      <c r="K371" s="216">
        <v>3188500</v>
      </c>
      <c r="L371" s="216">
        <v>700000</v>
      </c>
      <c r="M371" s="188">
        <f t="shared" si="62"/>
        <v>4.5549999999999997</v>
      </c>
    </row>
    <row r="372" spans="1:13" ht="12.75" customHeight="1" outlineLevel="1" x14ac:dyDescent="0.2">
      <c r="A372" s="191"/>
      <c r="B372" s="189"/>
      <c r="C372" s="192"/>
      <c r="D372" s="184" t="s">
        <v>137</v>
      </c>
      <c r="E372" s="185">
        <v>52397</v>
      </c>
      <c r="F372" s="186">
        <v>7.1249999999999994E-2</v>
      </c>
      <c r="G372" s="186">
        <v>6.8099999999999994E-2</v>
      </c>
      <c r="H372" s="186">
        <v>6.9000000000000006E-2</v>
      </c>
      <c r="I372" s="187">
        <v>6.8296999999999997E-2</v>
      </c>
      <c r="J372" s="195">
        <v>6.8500000000000005E-2</v>
      </c>
      <c r="K372" s="220">
        <v>4218600</v>
      </c>
      <c r="L372" s="220">
        <v>1900000</v>
      </c>
      <c r="M372" s="188">
        <f t="shared" si="62"/>
        <v>2.220315789473684</v>
      </c>
    </row>
    <row r="373" spans="1:13" ht="12.75" customHeight="1" outlineLevel="1" x14ac:dyDescent="0.2">
      <c r="A373" s="191"/>
      <c r="B373" s="200"/>
      <c r="C373" s="192"/>
      <c r="D373" s="184" t="s">
        <v>146</v>
      </c>
      <c r="E373" s="185">
        <v>56445</v>
      </c>
      <c r="F373" s="186">
        <v>6.8750000000000006E-2</v>
      </c>
      <c r="G373" s="186">
        <v>6.8099999999999994E-2</v>
      </c>
      <c r="H373" s="186">
        <v>6.93E-2</v>
      </c>
      <c r="I373" s="197">
        <v>6.8472199999999997E-2</v>
      </c>
      <c r="J373" s="196">
        <v>6.8599999999999994E-2</v>
      </c>
      <c r="K373" s="220">
        <v>3042200</v>
      </c>
      <c r="L373" s="220">
        <v>1450000</v>
      </c>
      <c r="M373" s="201">
        <f t="shared" si="62"/>
        <v>2.0980689655172413</v>
      </c>
    </row>
    <row r="374" spans="1:13" s="1" customFormat="1" ht="12.75" customHeight="1" outlineLevel="1" x14ac:dyDescent="0.2">
      <c r="A374" s="321" t="s">
        <v>121</v>
      </c>
      <c r="B374" s="322"/>
      <c r="C374" s="323"/>
      <c r="D374" s="323"/>
      <c r="E374" s="323"/>
      <c r="F374" s="323"/>
      <c r="G374" s="323"/>
      <c r="H374" s="323"/>
      <c r="I374" s="323"/>
      <c r="J374" s="324"/>
      <c r="K374" s="190">
        <f>SUM(K367:K373)</f>
        <v>45485400</v>
      </c>
      <c r="L374" s="190">
        <f>SUM(L367:L373)</f>
        <v>22000000</v>
      </c>
      <c r="M374" s="193"/>
    </row>
    <row r="375" spans="1:13" s="295" customFormat="1" x14ac:dyDescent="0.2">
      <c r="A375" s="241">
        <v>45539</v>
      </c>
      <c r="B375" s="241">
        <v>45545</v>
      </c>
      <c r="C375" s="296" t="s">
        <v>155</v>
      </c>
      <c r="D375" s="240" t="s">
        <v>268</v>
      </c>
      <c r="E375" s="241">
        <v>49197</v>
      </c>
      <c r="F375" s="297">
        <v>4.7500000000000001E-2</v>
      </c>
      <c r="G375" s="297"/>
      <c r="H375" s="297"/>
      <c r="I375" s="298">
        <v>4.8000000000000001E-2</v>
      </c>
      <c r="J375" s="298"/>
      <c r="K375" s="299" t="s">
        <v>269</v>
      </c>
      <c r="L375" s="299" t="str">
        <f t="shared" ref="L375:L380" si="63">K375</f>
        <v>USD1.150.000.000</v>
      </c>
      <c r="M375" s="300"/>
    </row>
    <row r="376" spans="1:13" s="295" customFormat="1" x14ac:dyDescent="0.2">
      <c r="A376" s="189"/>
      <c r="B376" s="189"/>
      <c r="C376" s="210"/>
      <c r="D376" s="184"/>
      <c r="E376" s="185"/>
      <c r="F376" s="301"/>
      <c r="G376" s="301"/>
      <c r="H376" s="301"/>
      <c r="I376" s="187"/>
      <c r="J376" s="187"/>
      <c r="K376" s="302">
        <f>15446*1150</f>
        <v>17762900</v>
      </c>
      <c r="L376" s="302">
        <f t="shared" si="63"/>
        <v>17762900</v>
      </c>
      <c r="M376" s="303"/>
    </row>
    <row r="377" spans="1:13" s="295" customFormat="1" x14ac:dyDescent="0.2">
      <c r="A377" s="189"/>
      <c r="B377" s="185">
        <v>45545</v>
      </c>
      <c r="C377" s="210"/>
      <c r="D377" s="184" t="s">
        <v>270</v>
      </c>
      <c r="E377" s="185">
        <v>56502</v>
      </c>
      <c r="F377" s="301">
        <v>5.1499999999999997E-2</v>
      </c>
      <c r="G377" s="301"/>
      <c r="H377" s="301"/>
      <c r="I377" s="187">
        <v>5.1999999999999998E-2</v>
      </c>
      <c r="J377" s="187"/>
      <c r="K377" s="302" t="s">
        <v>159</v>
      </c>
      <c r="L377" s="302" t="str">
        <f t="shared" si="63"/>
        <v>USD650.000.000</v>
      </c>
      <c r="M377" s="303"/>
    </row>
    <row r="378" spans="1:13" s="295" customFormat="1" x14ac:dyDescent="0.2">
      <c r="A378" s="189"/>
      <c r="B378" s="189"/>
      <c r="C378" s="210"/>
      <c r="D378" s="184"/>
      <c r="E378" s="185"/>
      <c r="F378" s="301"/>
      <c r="G378" s="301"/>
      <c r="H378" s="301"/>
      <c r="I378" s="187"/>
      <c r="J378" s="187"/>
      <c r="K378" s="302">
        <f>15446*650</f>
        <v>10039900</v>
      </c>
      <c r="L378" s="302">
        <f t="shared" si="63"/>
        <v>10039900</v>
      </c>
      <c r="M378" s="303"/>
    </row>
    <row r="379" spans="1:13" s="295" customFormat="1" x14ac:dyDescent="0.2">
      <c r="A379" s="189"/>
      <c r="B379" s="185">
        <v>45545</v>
      </c>
      <c r="C379" s="210"/>
      <c r="D379" s="184" t="s">
        <v>271</v>
      </c>
      <c r="E379" s="185">
        <v>48467</v>
      </c>
      <c r="F379" s="301">
        <v>3.6499999999999998E-2</v>
      </c>
      <c r="G379" s="301"/>
      <c r="H379" s="301"/>
      <c r="I379" s="187">
        <v>3.7229999999999999E-2</v>
      </c>
      <c r="J379" s="187"/>
      <c r="K379" s="302" t="s">
        <v>272</v>
      </c>
      <c r="L379" s="302" t="str">
        <f t="shared" si="63"/>
        <v>EUR750.000.000</v>
      </c>
      <c r="M379" s="303"/>
    </row>
    <row r="380" spans="1:13" s="295" customFormat="1" x14ac:dyDescent="0.2">
      <c r="A380" s="200"/>
      <c r="B380" s="200"/>
      <c r="C380" s="304"/>
      <c r="D380" s="248"/>
      <c r="E380" s="249"/>
      <c r="F380" s="305"/>
      <c r="G380" s="305"/>
      <c r="H380" s="305"/>
      <c r="I380" s="306"/>
      <c r="J380" s="306"/>
      <c r="K380" s="307">
        <f>17082.5*750</f>
        <v>12811875</v>
      </c>
      <c r="L380" s="307">
        <f t="shared" si="63"/>
        <v>12811875</v>
      </c>
      <c r="M380" s="308"/>
    </row>
    <row r="381" spans="1:13" s="1" customFormat="1" ht="12.75" customHeight="1" outlineLevel="1" x14ac:dyDescent="0.2">
      <c r="A381" s="321" t="s">
        <v>121</v>
      </c>
      <c r="B381" s="322"/>
      <c r="C381" s="323"/>
      <c r="D381" s="323"/>
      <c r="E381" s="323"/>
      <c r="F381" s="323"/>
      <c r="G381" s="323"/>
      <c r="H381" s="323"/>
      <c r="I381" s="323"/>
      <c r="J381" s="324"/>
      <c r="K381" s="190">
        <f>K376+K378+K380</f>
        <v>40614675</v>
      </c>
      <c r="L381" s="190">
        <f>L376+L378+L380</f>
        <v>40614675</v>
      </c>
      <c r="M381" s="193"/>
    </row>
    <row r="382" spans="1:13" s="1" customFormat="1" ht="12.75" customHeight="1" outlineLevel="1" x14ac:dyDescent="0.2">
      <c r="A382" s="164">
        <v>45545</v>
      </c>
      <c r="B382" s="164">
        <v>45547</v>
      </c>
      <c r="C382" s="160" t="s">
        <v>136</v>
      </c>
      <c r="D382" s="172" t="s">
        <v>242</v>
      </c>
      <c r="E382" s="158">
        <v>45748</v>
      </c>
      <c r="F382" s="166" t="s">
        <v>128</v>
      </c>
      <c r="G382" s="258">
        <v>6.3E-2</v>
      </c>
      <c r="H382" s="166">
        <v>6.4500000000000002E-2</v>
      </c>
      <c r="I382" s="166">
        <v>6.4236000000000001E-2</v>
      </c>
      <c r="J382" s="166">
        <v>6.4500000000000002E-2</v>
      </c>
      <c r="K382" s="256">
        <v>2065000</v>
      </c>
      <c r="L382" s="257">
        <v>250000</v>
      </c>
      <c r="M382" s="170">
        <f>IF(L382=0,0,K382/L382)</f>
        <v>8.26</v>
      </c>
    </row>
    <row r="383" spans="1:13" s="1" customFormat="1" ht="12.75" customHeight="1" outlineLevel="1" x14ac:dyDescent="0.2">
      <c r="A383" s="164"/>
      <c r="B383" s="164"/>
      <c r="C383" s="160"/>
      <c r="D383" s="172" t="s">
        <v>258</v>
      </c>
      <c r="E383" s="158">
        <v>45817</v>
      </c>
      <c r="F383" s="166" t="s">
        <v>128</v>
      </c>
      <c r="G383" s="166">
        <v>6.4000000000000001E-2</v>
      </c>
      <c r="H383" s="166">
        <v>6.5500000000000003E-2</v>
      </c>
      <c r="I383" s="178">
        <v>6.4989699999999997E-2</v>
      </c>
      <c r="J383" s="180">
        <v>6.5500000000000003E-2</v>
      </c>
      <c r="K383" s="256">
        <v>4015000</v>
      </c>
      <c r="L383" s="257">
        <v>1400000</v>
      </c>
      <c r="M383" s="170">
        <f t="shared" ref="M383:M388" si="64">IF(L383=0,0,K383/L383)</f>
        <v>2.8678571428571429</v>
      </c>
    </row>
    <row r="384" spans="1:13" s="1" customFormat="1" ht="12.75" customHeight="1" outlineLevel="1" x14ac:dyDescent="0.2">
      <c r="A384" s="164"/>
      <c r="B384" s="158"/>
      <c r="C384" s="160"/>
      <c r="D384" s="172" t="s">
        <v>150</v>
      </c>
      <c r="E384" s="158">
        <v>46218</v>
      </c>
      <c r="F384" s="166">
        <v>4.8750000000000002E-2</v>
      </c>
      <c r="G384" s="166">
        <v>6.5000000000000002E-2</v>
      </c>
      <c r="H384" s="166">
        <v>6.6699999999999995E-2</v>
      </c>
      <c r="I384" s="175">
        <v>6.5699499999999994E-2</v>
      </c>
      <c r="J384" s="180">
        <v>6.5799999999999997E-2</v>
      </c>
      <c r="K384" s="256">
        <v>6213000</v>
      </c>
      <c r="L384" s="256">
        <v>1200000</v>
      </c>
      <c r="M384" s="170">
        <f t="shared" si="64"/>
        <v>5.1775000000000002</v>
      </c>
    </row>
    <row r="385" spans="1:13" s="1" customFormat="1" ht="12.75" customHeight="1" outlineLevel="1" x14ac:dyDescent="0.2">
      <c r="A385" s="156"/>
      <c r="B385" s="156"/>
      <c r="C385" s="156"/>
      <c r="D385" s="2" t="s">
        <v>151</v>
      </c>
      <c r="E385" s="158">
        <v>46949</v>
      </c>
      <c r="F385" s="177">
        <v>5.8749999999999997E-2</v>
      </c>
      <c r="G385" s="166">
        <v>6.5000000000000002E-2</v>
      </c>
      <c r="H385" s="166">
        <v>6.6500000000000004E-2</v>
      </c>
      <c r="I385" s="175">
        <v>6.5843399999999996E-2</v>
      </c>
      <c r="J385" s="166">
        <v>6.6000000000000003E-2</v>
      </c>
      <c r="K385" s="256">
        <v>2255000</v>
      </c>
      <c r="L385" s="256">
        <v>1150000</v>
      </c>
      <c r="M385" s="170">
        <f t="shared" si="64"/>
        <v>1.9608695652173913</v>
      </c>
    </row>
    <row r="386" spans="1:13" s="1" customFormat="1" ht="12.75" customHeight="1" outlineLevel="1" x14ac:dyDescent="0.2">
      <c r="A386" s="181"/>
      <c r="B386" s="156"/>
      <c r="C386" s="182"/>
      <c r="D386" s="2" t="s">
        <v>53</v>
      </c>
      <c r="E386" s="158">
        <v>50086</v>
      </c>
      <c r="F386" s="177">
        <v>6.0999999999999999E-2</v>
      </c>
      <c r="G386" s="166">
        <v>6.6400000000000001E-2</v>
      </c>
      <c r="H386" s="166">
        <v>6.8000000000000005E-2</v>
      </c>
      <c r="I386" s="175">
        <v>6.7052299999999995E-2</v>
      </c>
      <c r="J386" s="166">
        <v>6.7500000000000004E-2</v>
      </c>
      <c r="K386" s="256">
        <v>1551500</v>
      </c>
      <c r="L386" s="256">
        <v>1350000</v>
      </c>
      <c r="M386" s="170">
        <f t="shared" si="64"/>
        <v>1.1492592592592592</v>
      </c>
    </row>
    <row r="387" spans="1:13" s="1" customFormat="1" ht="12.75" customHeight="1" outlineLevel="1" x14ac:dyDescent="0.2">
      <c r="A387" s="181"/>
      <c r="B387" s="156"/>
      <c r="C387" s="182"/>
      <c r="D387" s="2" t="s">
        <v>152</v>
      </c>
      <c r="E387" s="158">
        <v>51697</v>
      </c>
      <c r="F387" s="177">
        <v>6.6250000000000003E-2</v>
      </c>
      <c r="G387" s="166">
        <v>6.7799999999999999E-2</v>
      </c>
      <c r="H387" s="166">
        <v>6.9500000000000006E-2</v>
      </c>
      <c r="I387" s="175">
        <v>6.8285200000000004E-2</v>
      </c>
      <c r="J387" s="166">
        <v>6.8500000000000005E-2</v>
      </c>
      <c r="K387" s="256">
        <v>344000</v>
      </c>
      <c r="L387" s="256">
        <v>250000</v>
      </c>
      <c r="M387" s="170">
        <f t="shared" si="64"/>
        <v>1.3759999999999999</v>
      </c>
    </row>
    <row r="388" spans="1:13" s="1" customFormat="1" ht="12.75" customHeight="1" outlineLevel="1" x14ac:dyDescent="0.2">
      <c r="A388" s="181"/>
      <c r="B388" s="156"/>
      <c r="C388" s="182"/>
      <c r="D388" s="172" t="s">
        <v>142</v>
      </c>
      <c r="E388" s="158">
        <v>54772</v>
      </c>
      <c r="F388" s="166">
        <v>6.8750000000000006E-2</v>
      </c>
      <c r="G388" s="166">
        <v>6.9099999999999995E-2</v>
      </c>
      <c r="H388" s="166">
        <v>7.0400000000000004E-2</v>
      </c>
      <c r="I388" s="175">
        <v>6.9598800000000002E-2</v>
      </c>
      <c r="J388" s="175">
        <v>6.9699999999999998E-2</v>
      </c>
      <c r="K388" s="256">
        <v>4828500</v>
      </c>
      <c r="L388" s="256">
        <v>2400000</v>
      </c>
      <c r="M388" s="170">
        <f t="shared" si="64"/>
        <v>2.0118749999999999</v>
      </c>
    </row>
    <row r="389" spans="1:13" s="1" customFormat="1" ht="12.75" customHeight="1" outlineLevel="1" x14ac:dyDescent="0.2">
      <c r="A389" s="315" t="s">
        <v>121</v>
      </c>
      <c r="B389" s="316"/>
      <c r="C389" s="316"/>
      <c r="D389" s="316"/>
      <c r="E389" s="316"/>
      <c r="F389" s="316"/>
      <c r="G389" s="316"/>
      <c r="H389" s="316"/>
      <c r="I389" s="316"/>
      <c r="J389" s="317"/>
      <c r="K389" s="255">
        <f>SUM(K382:K388)</f>
        <v>21272000</v>
      </c>
      <c r="L389" s="255">
        <f>SUM(L382:L388)</f>
        <v>8000000</v>
      </c>
      <c r="M389" s="165"/>
    </row>
    <row r="390" spans="1:13" ht="12" customHeight="1" outlineLevel="1" x14ac:dyDescent="0.2">
      <c r="A390" s="198">
        <v>45552</v>
      </c>
      <c r="B390" s="215">
        <v>45554</v>
      </c>
      <c r="C390" s="199" t="s">
        <v>136</v>
      </c>
      <c r="D390" s="184" t="s">
        <v>259</v>
      </c>
      <c r="E390" s="185">
        <v>45644</v>
      </c>
      <c r="F390" s="186" t="s">
        <v>128</v>
      </c>
      <c r="G390" s="202">
        <v>6.2799999999999995E-2</v>
      </c>
      <c r="H390" s="202">
        <v>6.6000000000000003E-2</v>
      </c>
      <c r="I390" s="194" t="s">
        <v>130</v>
      </c>
      <c r="J390" s="194" t="s">
        <v>130</v>
      </c>
      <c r="K390" s="216">
        <v>3558000</v>
      </c>
      <c r="L390" s="216">
        <v>0</v>
      </c>
      <c r="M390" s="188">
        <f t="shared" ref="M390:M396" si="65">IF(L390=0,0,K390/L390)</f>
        <v>0</v>
      </c>
    </row>
    <row r="391" spans="1:13" ht="12" customHeight="1" outlineLevel="1" x14ac:dyDescent="0.2">
      <c r="A391" s="198"/>
      <c r="B391" s="183"/>
      <c r="C391" s="199"/>
      <c r="D391" s="184" t="s">
        <v>260</v>
      </c>
      <c r="E391" s="185">
        <v>45918</v>
      </c>
      <c r="F391" s="186" t="s">
        <v>128</v>
      </c>
      <c r="G391" s="186">
        <v>6.4500000000000002E-2</v>
      </c>
      <c r="H391" s="287">
        <v>6.5500000000000003E-2</v>
      </c>
      <c r="I391" s="288" t="s">
        <v>130</v>
      </c>
      <c r="J391" s="202" t="s">
        <v>130</v>
      </c>
      <c r="K391" s="289">
        <v>4267000</v>
      </c>
      <c r="L391" s="216">
        <v>0</v>
      </c>
      <c r="M391" s="188">
        <f t="shared" si="65"/>
        <v>0</v>
      </c>
    </row>
    <row r="392" spans="1:13" ht="12.75" customHeight="1" outlineLevel="1" x14ac:dyDescent="0.2">
      <c r="A392" s="198"/>
      <c r="B392" s="185"/>
      <c r="C392" s="199"/>
      <c r="D392" s="184" t="s">
        <v>251</v>
      </c>
      <c r="E392" s="185">
        <v>47679</v>
      </c>
      <c r="F392" s="186">
        <v>6.5000000000000002E-2</v>
      </c>
      <c r="G392" s="186">
        <v>6.3799999999999996E-2</v>
      </c>
      <c r="H392" s="186">
        <v>6.5000000000000002E-2</v>
      </c>
      <c r="I392" s="187">
        <v>6.4062499999999994E-2</v>
      </c>
      <c r="J392" s="195">
        <v>6.4199999999999993E-2</v>
      </c>
      <c r="K392" s="216">
        <v>16022500</v>
      </c>
      <c r="L392" s="216">
        <v>7350000</v>
      </c>
      <c r="M392" s="188">
        <f t="shared" si="65"/>
        <v>2.1799319727891158</v>
      </c>
    </row>
    <row r="393" spans="1:13" ht="12.75" customHeight="1" outlineLevel="1" x14ac:dyDescent="0.2">
      <c r="A393" s="191"/>
      <c r="B393" s="189"/>
      <c r="C393" s="192"/>
      <c r="D393" s="184" t="s">
        <v>249</v>
      </c>
      <c r="E393" s="185">
        <v>49505</v>
      </c>
      <c r="F393" s="186">
        <v>6.7500000000000004E-2</v>
      </c>
      <c r="G393" s="186">
        <v>6.5100000000000005E-2</v>
      </c>
      <c r="H393" s="186">
        <v>6.6699999999999995E-2</v>
      </c>
      <c r="I393" s="196">
        <v>6.5294000000000005E-2</v>
      </c>
      <c r="J393" s="197">
        <v>6.54E-2</v>
      </c>
      <c r="K393" s="216">
        <v>26194500</v>
      </c>
      <c r="L393" s="216">
        <v>7450000</v>
      </c>
      <c r="M393" s="188">
        <f t="shared" si="65"/>
        <v>3.5160402684563756</v>
      </c>
    </row>
    <row r="394" spans="1:13" ht="12.75" customHeight="1" outlineLevel="1" x14ac:dyDescent="0.2">
      <c r="A394" s="191"/>
      <c r="B394" s="189"/>
      <c r="C394" s="192"/>
      <c r="D394" s="184" t="s">
        <v>138</v>
      </c>
      <c r="E394" s="185">
        <v>50571</v>
      </c>
      <c r="F394" s="186">
        <v>7.1249999999999994E-2</v>
      </c>
      <c r="G394" s="186">
        <v>6.6500000000000004E-2</v>
      </c>
      <c r="H394" s="186">
        <v>6.7699999999999996E-2</v>
      </c>
      <c r="I394" s="187">
        <v>6.66987E-2</v>
      </c>
      <c r="J394" s="197">
        <v>6.6799999999999998E-2</v>
      </c>
      <c r="K394" s="216">
        <v>5435000</v>
      </c>
      <c r="L394" s="216">
        <v>2350000</v>
      </c>
      <c r="M394" s="188">
        <f t="shared" si="65"/>
        <v>2.3127659574468087</v>
      </c>
    </row>
    <row r="395" spans="1:13" ht="12.75" customHeight="1" outlineLevel="1" x14ac:dyDescent="0.2">
      <c r="A395" s="191"/>
      <c r="B395" s="189"/>
      <c r="C395" s="192"/>
      <c r="D395" s="184" t="s">
        <v>137</v>
      </c>
      <c r="E395" s="185">
        <v>52397</v>
      </c>
      <c r="F395" s="186">
        <v>7.1249999999999994E-2</v>
      </c>
      <c r="G395" s="186">
        <v>6.7400000000000002E-2</v>
      </c>
      <c r="H395" s="186">
        <v>6.8500000000000005E-2</v>
      </c>
      <c r="I395" s="187">
        <v>6.7691000000000001E-2</v>
      </c>
      <c r="J395" s="195">
        <v>6.7799999999999999E-2</v>
      </c>
      <c r="K395" s="220">
        <v>5087900</v>
      </c>
      <c r="L395" s="220">
        <v>2300000</v>
      </c>
      <c r="M395" s="188">
        <f t="shared" si="65"/>
        <v>2.2121304347826087</v>
      </c>
    </row>
    <row r="396" spans="1:13" ht="12.75" customHeight="1" outlineLevel="1" x14ac:dyDescent="0.2">
      <c r="A396" s="191"/>
      <c r="B396" s="200"/>
      <c r="C396" s="192"/>
      <c r="D396" s="184" t="s">
        <v>146</v>
      </c>
      <c r="E396" s="185">
        <v>56445</v>
      </c>
      <c r="F396" s="186">
        <v>6.8750000000000006E-2</v>
      </c>
      <c r="G396" s="186">
        <v>6.8000000000000005E-2</v>
      </c>
      <c r="H396" s="186">
        <v>7.0000000000000007E-2</v>
      </c>
      <c r="I396" s="197">
        <v>6.8396200000000004E-2</v>
      </c>
      <c r="J396" s="196">
        <v>6.8599999999999994E-2</v>
      </c>
      <c r="K396" s="220">
        <v>3139300</v>
      </c>
      <c r="L396" s="220">
        <v>2550000</v>
      </c>
      <c r="M396" s="201">
        <f t="shared" si="65"/>
        <v>1.2310980392156863</v>
      </c>
    </row>
    <row r="397" spans="1:13" s="1" customFormat="1" ht="12.75" customHeight="1" outlineLevel="1" x14ac:dyDescent="0.2">
      <c r="A397" s="321" t="s">
        <v>121</v>
      </c>
      <c r="B397" s="322"/>
      <c r="C397" s="323"/>
      <c r="D397" s="323"/>
      <c r="E397" s="323"/>
      <c r="F397" s="323"/>
      <c r="G397" s="323"/>
      <c r="H397" s="323"/>
      <c r="I397" s="323"/>
      <c r="J397" s="324"/>
      <c r="K397" s="190">
        <f>SUM(K390:K396)</f>
        <v>63704200</v>
      </c>
      <c r="L397" s="190">
        <f>SUM(L390:L396)</f>
        <v>22000000</v>
      </c>
      <c r="M397" s="193"/>
    </row>
    <row r="398" spans="1:13" s="1" customFormat="1" ht="12.75" customHeight="1" outlineLevel="1" x14ac:dyDescent="0.2">
      <c r="A398" s="259">
        <v>45558</v>
      </c>
      <c r="B398" s="260">
        <v>45560</v>
      </c>
      <c r="C398" s="261" t="s">
        <v>155</v>
      </c>
      <c r="D398" s="172" t="s">
        <v>261</v>
      </c>
      <c r="E398" s="158">
        <v>46640</v>
      </c>
      <c r="F398" s="166">
        <v>6.3500000000000001E-2</v>
      </c>
      <c r="G398" s="178"/>
      <c r="H398" s="178"/>
      <c r="I398" s="262"/>
      <c r="J398" s="262"/>
      <c r="K398" s="256">
        <v>19276188</v>
      </c>
      <c r="L398" s="256">
        <v>19276188</v>
      </c>
      <c r="M398" s="264">
        <f t="shared" ref="M398:M399" si="66">IF(L398=0,0,K398/L398)</f>
        <v>1</v>
      </c>
    </row>
    <row r="399" spans="1:13" s="1" customFormat="1" ht="12.75" customHeight="1" outlineLevel="1" x14ac:dyDescent="0.2">
      <c r="A399" s="259"/>
      <c r="B399" s="273"/>
      <c r="C399" s="261"/>
      <c r="D399" s="172" t="s">
        <v>262</v>
      </c>
      <c r="E399" s="158">
        <v>47371</v>
      </c>
      <c r="F399" s="166">
        <v>6.4500000000000002E-2</v>
      </c>
      <c r="G399" s="166"/>
      <c r="H399" s="166"/>
      <c r="I399" s="178"/>
      <c r="J399" s="180"/>
      <c r="K399" s="256">
        <v>4948222</v>
      </c>
      <c r="L399" s="256">
        <v>4948222</v>
      </c>
      <c r="M399" s="271">
        <f t="shared" si="66"/>
        <v>1</v>
      </c>
    </row>
    <row r="400" spans="1:13" s="1" customFormat="1" ht="12.75" customHeight="1" outlineLevel="1" x14ac:dyDescent="0.2">
      <c r="A400" s="315" t="s">
        <v>121</v>
      </c>
      <c r="B400" s="342"/>
      <c r="C400" s="316"/>
      <c r="D400" s="316"/>
      <c r="E400" s="316"/>
      <c r="F400" s="316"/>
      <c r="G400" s="316"/>
      <c r="H400" s="316"/>
      <c r="I400" s="316"/>
      <c r="J400" s="317"/>
      <c r="K400" s="176">
        <f>SUM(K398:K399)</f>
        <v>24224410</v>
      </c>
      <c r="L400" s="176">
        <f>SUM(L398:L399)</f>
        <v>24224410</v>
      </c>
      <c r="M400" s="272"/>
    </row>
    <row r="401" spans="1:13" s="1" customFormat="1" ht="12.75" customHeight="1" outlineLevel="1" x14ac:dyDescent="0.2">
      <c r="A401" s="164">
        <v>45559</v>
      </c>
      <c r="B401" s="164">
        <v>45561</v>
      </c>
      <c r="C401" s="160" t="s">
        <v>136</v>
      </c>
      <c r="D401" s="172" t="s">
        <v>242</v>
      </c>
      <c r="E401" s="158">
        <v>45748</v>
      </c>
      <c r="F401" s="166" t="s">
        <v>128</v>
      </c>
      <c r="G401" s="258">
        <v>6.4000000000000001E-2</v>
      </c>
      <c r="H401" s="166">
        <v>6.4000000000000001E-2</v>
      </c>
      <c r="I401" s="166">
        <v>0</v>
      </c>
      <c r="J401" s="166">
        <v>0</v>
      </c>
      <c r="K401" s="256">
        <v>3300000</v>
      </c>
      <c r="L401" s="257">
        <v>0</v>
      </c>
      <c r="M401" s="170">
        <f>IF(L401=0,0,K401/L401)</f>
        <v>0</v>
      </c>
    </row>
    <row r="402" spans="1:13" s="1" customFormat="1" ht="12.75" customHeight="1" outlineLevel="1" x14ac:dyDescent="0.2">
      <c r="A402" s="164"/>
      <c r="B402" s="164"/>
      <c r="C402" s="160"/>
      <c r="D402" s="172" t="s">
        <v>258</v>
      </c>
      <c r="E402" s="158">
        <v>45817</v>
      </c>
      <c r="F402" s="166" t="s">
        <v>128</v>
      </c>
      <c r="G402" s="258">
        <v>6.2199999999999998E-2</v>
      </c>
      <c r="H402" s="166">
        <v>6.4500000000000002E-2</v>
      </c>
      <c r="I402" s="166">
        <v>6.2199999999999998E-2</v>
      </c>
      <c r="J402" s="166">
        <v>6.2199999999999998E-2</v>
      </c>
      <c r="K402" s="256">
        <v>4388000</v>
      </c>
      <c r="L402" s="257">
        <v>200000</v>
      </c>
      <c r="M402" s="170">
        <f>IF(L402=0,0,K402/L402)</f>
        <v>21.94</v>
      </c>
    </row>
    <row r="403" spans="1:13" s="1" customFormat="1" ht="12.75" customHeight="1" outlineLevel="1" x14ac:dyDescent="0.2">
      <c r="A403" s="164"/>
      <c r="B403" s="158"/>
      <c r="C403" s="160"/>
      <c r="D403" s="172" t="s">
        <v>150</v>
      </c>
      <c r="E403" s="158">
        <v>46218</v>
      </c>
      <c r="F403" s="166">
        <v>4.8750000000000002E-2</v>
      </c>
      <c r="G403" s="166">
        <v>6.2199999999999998E-2</v>
      </c>
      <c r="H403" s="166">
        <v>6.3899999999999998E-2</v>
      </c>
      <c r="I403" s="175">
        <v>6.2499899999999997E-2</v>
      </c>
      <c r="J403" s="175">
        <v>6.2600000000000003E-2</v>
      </c>
      <c r="K403" s="256">
        <v>9877500</v>
      </c>
      <c r="L403" s="256">
        <v>1450000</v>
      </c>
      <c r="M403" s="170">
        <f t="shared" ref="M403:M407" si="67">IF(L403=0,0,K403/L403)</f>
        <v>6.8120689655172413</v>
      </c>
    </row>
    <row r="404" spans="1:13" s="1" customFormat="1" ht="12.75" customHeight="1" outlineLevel="1" x14ac:dyDescent="0.2">
      <c r="A404" s="156"/>
      <c r="B404" s="156"/>
      <c r="C404" s="156"/>
      <c r="D404" s="2" t="s">
        <v>151</v>
      </c>
      <c r="E404" s="158">
        <v>46949</v>
      </c>
      <c r="F404" s="177">
        <v>5.8749999999999997E-2</v>
      </c>
      <c r="G404" s="166">
        <v>6.2899999999999998E-2</v>
      </c>
      <c r="H404" s="166">
        <v>6.5500000000000003E-2</v>
      </c>
      <c r="I404" s="175">
        <v>6.3398499999999997E-2</v>
      </c>
      <c r="J404" s="175">
        <v>6.3500000000000001E-2</v>
      </c>
      <c r="K404" s="256">
        <v>6807500</v>
      </c>
      <c r="L404" s="256">
        <v>2750000</v>
      </c>
      <c r="M404" s="170">
        <f t="shared" si="67"/>
        <v>2.4754545454545456</v>
      </c>
    </row>
    <row r="405" spans="1:13" s="1" customFormat="1" ht="12.75" customHeight="1" outlineLevel="1" x14ac:dyDescent="0.2">
      <c r="A405" s="181"/>
      <c r="B405" s="156"/>
      <c r="C405" s="182"/>
      <c r="D405" s="172" t="s">
        <v>263</v>
      </c>
      <c r="E405" s="158">
        <v>49018</v>
      </c>
      <c r="F405" s="166">
        <v>6.3750000000000001E-2</v>
      </c>
      <c r="G405" s="166">
        <v>6.4799999999999996E-2</v>
      </c>
      <c r="H405" s="166">
        <v>6.6600000000000006E-2</v>
      </c>
      <c r="I405" s="175">
        <v>6.5611600000000006E-2</v>
      </c>
      <c r="J405" s="175">
        <v>6.6000000000000003E-2</v>
      </c>
      <c r="K405" s="256">
        <v>918500</v>
      </c>
      <c r="L405" s="256">
        <v>700000</v>
      </c>
      <c r="M405" s="170">
        <f t="shared" si="67"/>
        <v>1.3121428571428571</v>
      </c>
    </row>
    <row r="406" spans="1:13" s="1" customFormat="1" ht="12.75" customHeight="1" outlineLevel="1" x14ac:dyDescent="0.2">
      <c r="A406" s="181"/>
      <c r="B406" s="156"/>
      <c r="C406" s="182"/>
      <c r="D406" s="172" t="s">
        <v>53</v>
      </c>
      <c r="E406" s="158">
        <v>50086</v>
      </c>
      <c r="F406" s="166">
        <v>6.0999999999999999E-2</v>
      </c>
      <c r="G406" s="166">
        <v>6.5500000000000003E-2</v>
      </c>
      <c r="H406" s="166">
        <v>6.7000000000000004E-2</v>
      </c>
      <c r="I406" s="175">
        <v>6.6164700000000007E-2</v>
      </c>
      <c r="J406" s="175">
        <v>6.6500000000000004E-2</v>
      </c>
      <c r="K406" s="256">
        <v>1101000</v>
      </c>
      <c r="L406" s="256">
        <v>650000</v>
      </c>
      <c r="M406" s="170">
        <f t="shared" si="67"/>
        <v>1.6938461538461538</v>
      </c>
    </row>
    <row r="407" spans="1:13" s="1" customFormat="1" ht="12.75" customHeight="1" outlineLevel="1" x14ac:dyDescent="0.2">
      <c r="A407" s="181"/>
      <c r="B407" s="156"/>
      <c r="C407" s="182"/>
      <c r="D407" s="172" t="s">
        <v>142</v>
      </c>
      <c r="E407" s="158">
        <v>54772</v>
      </c>
      <c r="F407" s="166">
        <v>6.8750000000000006E-2</v>
      </c>
      <c r="G407" s="166">
        <v>6.83E-2</v>
      </c>
      <c r="H407" s="166">
        <v>6.9099999999999995E-2</v>
      </c>
      <c r="I407" s="175">
        <v>6.8699200000000002E-2</v>
      </c>
      <c r="J407" s="175">
        <v>6.8900000000000003E-2</v>
      </c>
      <c r="K407" s="256">
        <v>5945900</v>
      </c>
      <c r="L407" s="256">
        <v>4250000</v>
      </c>
      <c r="M407" s="170">
        <f t="shared" si="67"/>
        <v>1.3990352941176472</v>
      </c>
    </row>
    <row r="408" spans="1:13" s="1" customFormat="1" ht="12.75" customHeight="1" outlineLevel="1" x14ac:dyDescent="0.2">
      <c r="A408" s="315" t="s">
        <v>121</v>
      </c>
      <c r="B408" s="316"/>
      <c r="C408" s="316"/>
      <c r="D408" s="316"/>
      <c r="E408" s="316"/>
      <c r="F408" s="316"/>
      <c r="G408" s="316"/>
      <c r="H408" s="316"/>
      <c r="I408" s="316"/>
      <c r="J408" s="317"/>
      <c r="K408" s="255">
        <f>SUM(K401:K407)</f>
        <v>32338400</v>
      </c>
      <c r="L408" s="255">
        <f>SUM(L401:L407)</f>
        <v>10000000</v>
      </c>
      <c r="M408" s="165"/>
    </row>
    <row r="409" spans="1:13" x14ac:dyDescent="0.2">
      <c r="A409" s="318" t="s">
        <v>254</v>
      </c>
      <c r="B409" s="319"/>
      <c r="C409" s="319"/>
      <c r="D409" s="319"/>
      <c r="E409" s="319"/>
      <c r="F409" s="319"/>
      <c r="G409" s="319"/>
      <c r="H409" s="319"/>
      <c r="I409" s="319"/>
      <c r="J409" s="320"/>
      <c r="K409" s="173">
        <f>K374+K389+K397+K400+K408+K381</f>
        <v>227639085</v>
      </c>
      <c r="L409" s="173">
        <f>L374+L389+L397+L400+L408+L381</f>
        <v>126839085</v>
      </c>
      <c r="M409" s="105"/>
    </row>
    <row r="410" spans="1:13" x14ac:dyDescent="0.2">
      <c r="A410" s="318" t="s">
        <v>264</v>
      </c>
      <c r="B410" s="319"/>
      <c r="C410" s="319"/>
      <c r="D410" s="319"/>
      <c r="E410" s="319"/>
      <c r="F410" s="319"/>
      <c r="G410" s="319"/>
      <c r="H410" s="319"/>
      <c r="I410" s="319"/>
      <c r="J410" s="320"/>
      <c r="K410" s="173">
        <f>K366+K409</f>
        <v>1739783430</v>
      </c>
      <c r="L410" s="173">
        <f>L366+L409</f>
        <v>866864230</v>
      </c>
      <c r="M410" s="165"/>
    </row>
    <row r="411" spans="1:13" ht="12" customHeight="1" outlineLevel="1" x14ac:dyDescent="0.2">
      <c r="A411" s="198">
        <v>45566</v>
      </c>
      <c r="B411" s="215">
        <v>45568</v>
      </c>
      <c r="C411" s="199" t="s">
        <v>136</v>
      </c>
      <c r="D411" s="184" t="s">
        <v>266</v>
      </c>
      <c r="E411" s="185">
        <v>45658</v>
      </c>
      <c r="F411" s="186" t="s">
        <v>128</v>
      </c>
      <c r="G411" s="202">
        <v>6.2799999999999995E-2</v>
      </c>
      <c r="H411" s="202">
        <v>6.2799999999999995E-2</v>
      </c>
      <c r="I411" s="194" t="s">
        <v>130</v>
      </c>
      <c r="J411" s="194" t="s">
        <v>130</v>
      </c>
      <c r="K411" s="216">
        <v>2018000</v>
      </c>
      <c r="L411" s="216">
        <v>0</v>
      </c>
      <c r="M411" s="188">
        <f t="shared" ref="M411:M417" si="68">IF(L411=0,0,K411/L411)</f>
        <v>0</v>
      </c>
    </row>
    <row r="412" spans="1:13" ht="12" customHeight="1" outlineLevel="1" x14ac:dyDescent="0.2">
      <c r="A412" s="198"/>
      <c r="B412" s="183"/>
      <c r="C412" s="199"/>
      <c r="D412" s="184" t="s">
        <v>267</v>
      </c>
      <c r="E412" s="185">
        <v>45932</v>
      </c>
      <c r="F412" s="186" t="s">
        <v>128</v>
      </c>
      <c r="G412" s="186">
        <v>5.9400000000000001E-2</v>
      </c>
      <c r="H412" s="287">
        <v>6.3299999999999995E-2</v>
      </c>
      <c r="I412" s="288">
        <v>5.9450000000000003E-2</v>
      </c>
      <c r="J412" s="202">
        <v>5.9499999999999997E-2</v>
      </c>
      <c r="K412" s="289">
        <v>5890000</v>
      </c>
      <c r="L412" s="216">
        <v>2000000</v>
      </c>
      <c r="M412" s="188">
        <f t="shared" si="68"/>
        <v>2.9449999999999998</v>
      </c>
    </row>
    <row r="413" spans="1:13" ht="12.75" customHeight="1" outlineLevel="1" x14ac:dyDescent="0.2">
      <c r="A413" s="198"/>
      <c r="B413" s="185"/>
      <c r="C413" s="199"/>
      <c r="D413" s="184" t="s">
        <v>251</v>
      </c>
      <c r="E413" s="185">
        <v>47679</v>
      </c>
      <c r="F413" s="186">
        <v>6.5000000000000002E-2</v>
      </c>
      <c r="G413" s="186">
        <v>6.3799999999999996E-2</v>
      </c>
      <c r="H413" s="186">
        <v>6.3200000000000006E-2</v>
      </c>
      <c r="I413" s="187">
        <v>6.2399499999999997E-2</v>
      </c>
      <c r="J413" s="195">
        <v>6.2600000000000003E-2</v>
      </c>
      <c r="K413" s="216">
        <v>14130000</v>
      </c>
      <c r="L413" s="216">
        <v>8600000</v>
      </c>
      <c r="M413" s="188">
        <f t="shared" si="68"/>
        <v>1.6430232558139535</v>
      </c>
    </row>
    <row r="414" spans="1:13" ht="12.75" customHeight="1" outlineLevel="1" x14ac:dyDescent="0.2">
      <c r="A414" s="191"/>
      <c r="B414" s="189"/>
      <c r="C414" s="192"/>
      <c r="D414" s="184" t="s">
        <v>249</v>
      </c>
      <c r="E414" s="185">
        <v>49505</v>
      </c>
      <c r="F414" s="186">
        <v>6.7500000000000004E-2</v>
      </c>
      <c r="G414" s="186">
        <v>6.5100000000000005E-2</v>
      </c>
      <c r="H414" s="186">
        <v>6.6000000000000003E-2</v>
      </c>
      <c r="I414" s="196">
        <v>6.5297499999999994E-2</v>
      </c>
      <c r="J414" s="197">
        <v>6.54E-2</v>
      </c>
      <c r="K414" s="216">
        <v>14955400</v>
      </c>
      <c r="L414" s="216">
        <v>7350000</v>
      </c>
      <c r="M414" s="188">
        <f t="shared" si="68"/>
        <v>2.0347482993197277</v>
      </c>
    </row>
    <row r="415" spans="1:13" ht="12.75" customHeight="1" outlineLevel="1" x14ac:dyDescent="0.2">
      <c r="A415" s="191"/>
      <c r="B415" s="189"/>
      <c r="C415" s="192"/>
      <c r="D415" s="184" t="s">
        <v>138</v>
      </c>
      <c r="E415" s="185">
        <v>50571</v>
      </c>
      <c r="F415" s="186">
        <v>7.1249999999999994E-2</v>
      </c>
      <c r="G415" s="186">
        <v>6.6500000000000004E-2</v>
      </c>
      <c r="H415" s="186">
        <v>6.8000000000000005E-2</v>
      </c>
      <c r="I415" s="187">
        <v>6.6793000000000005E-2</v>
      </c>
      <c r="J415" s="197">
        <v>6.7199999999999996E-2</v>
      </c>
      <c r="K415" s="216">
        <v>4821000</v>
      </c>
      <c r="L415" s="216">
        <v>4100000</v>
      </c>
      <c r="M415" s="188">
        <f t="shared" si="68"/>
        <v>1.1758536585365853</v>
      </c>
    </row>
    <row r="416" spans="1:13" ht="12.75" customHeight="1" outlineLevel="1" x14ac:dyDescent="0.2">
      <c r="A416" s="191"/>
      <c r="B416" s="189"/>
      <c r="C416" s="192"/>
      <c r="D416" s="184" t="s">
        <v>137</v>
      </c>
      <c r="E416" s="185">
        <v>52397</v>
      </c>
      <c r="F416" s="186">
        <v>7.1249999999999994E-2</v>
      </c>
      <c r="G416" s="186">
        <v>6.7400000000000002E-2</v>
      </c>
      <c r="H416" s="186">
        <v>6.9099999999999995E-2</v>
      </c>
      <c r="I416" s="187">
        <v>6.8292699999999998E-2</v>
      </c>
      <c r="J416" s="195">
        <v>6.8500000000000005E-2</v>
      </c>
      <c r="K416" s="220">
        <v>3260600</v>
      </c>
      <c r="L416" s="220">
        <v>650000</v>
      </c>
      <c r="M416" s="188">
        <f t="shared" si="68"/>
        <v>5.0163076923076924</v>
      </c>
    </row>
    <row r="417" spans="1:13" ht="12.75" customHeight="1" outlineLevel="1" x14ac:dyDescent="0.2">
      <c r="A417" s="191"/>
      <c r="B417" s="200"/>
      <c r="C417" s="192"/>
      <c r="D417" s="184" t="s">
        <v>146</v>
      </c>
      <c r="E417" s="185">
        <v>56445</v>
      </c>
      <c r="F417" s="186">
        <v>6.8750000000000006E-2</v>
      </c>
      <c r="G417" s="186">
        <v>6.8000000000000005E-2</v>
      </c>
      <c r="H417" s="186">
        <v>6.9400000000000003E-2</v>
      </c>
      <c r="I417" s="197">
        <v>6.8885600000000005E-2</v>
      </c>
      <c r="J417" s="196">
        <v>6.9199999999999998E-2</v>
      </c>
      <c r="K417" s="220">
        <v>1574500</v>
      </c>
      <c r="L417" s="220">
        <v>1300000</v>
      </c>
      <c r="M417" s="201">
        <f t="shared" si="68"/>
        <v>1.2111538461538462</v>
      </c>
    </row>
    <row r="418" spans="1:13" s="1" customFormat="1" ht="12.75" customHeight="1" outlineLevel="1" x14ac:dyDescent="0.2">
      <c r="A418" s="321" t="s">
        <v>121</v>
      </c>
      <c r="B418" s="322"/>
      <c r="C418" s="323"/>
      <c r="D418" s="323"/>
      <c r="E418" s="323"/>
      <c r="F418" s="323"/>
      <c r="G418" s="323"/>
      <c r="H418" s="323"/>
      <c r="I418" s="323"/>
      <c r="J418" s="324"/>
      <c r="K418" s="190">
        <f>SUM(K411:K417)</f>
        <v>46649500</v>
      </c>
      <c r="L418" s="190">
        <f>SUM(L411:L417)</f>
        <v>24000000</v>
      </c>
      <c r="M418" s="193"/>
    </row>
    <row r="419" spans="1:13" s="1" customFormat="1" ht="12.75" customHeight="1" outlineLevel="1" x14ac:dyDescent="0.2">
      <c r="A419" s="284">
        <v>45567</v>
      </c>
      <c r="B419" s="284">
        <v>45572</v>
      </c>
      <c r="C419" s="280" t="s">
        <v>172</v>
      </c>
      <c r="D419" s="281" t="s">
        <v>167</v>
      </c>
      <c r="E419" s="284">
        <v>49749</v>
      </c>
      <c r="F419" s="282">
        <v>6.8750000000000006E-2</v>
      </c>
      <c r="G419" s="283" t="s">
        <v>130</v>
      </c>
      <c r="H419" s="283" t="s">
        <v>130</v>
      </c>
      <c r="I419" s="282">
        <v>6.8750000000000006E-2</v>
      </c>
      <c r="J419" s="277" t="s">
        <v>130</v>
      </c>
      <c r="K419" s="278">
        <v>3000000</v>
      </c>
      <c r="L419" s="278">
        <f t="shared" ref="L419" si="69">K419</f>
        <v>3000000</v>
      </c>
      <c r="M419" s="279">
        <f t="shared" ref="M419" si="70">IF(L419=0,0,K419/L419)</f>
        <v>1</v>
      </c>
    </row>
    <row r="420" spans="1:13" s="1" customFormat="1" ht="12.75" customHeight="1" outlineLevel="1" x14ac:dyDescent="0.2">
      <c r="A420" s="343" t="s">
        <v>121</v>
      </c>
      <c r="B420" s="342"/>
      <c r="C420" s="316"/>
      <c r="D420" s="316"/>
      <c r="E420" s="316"/>
      <c r="F420" s="316"/>
      <c r="G420" s="316"/>
      <c r="H420" s="316"/>
      <c r="I420" s="316"/>
      <c r="J420" s="317"/>
      <c r="K420" s="176">
        <f>K419</f>
        <v>3000000</v>
      </c>
      <c r="L420" s="176">
        <f>L419</f>
        <v>3000000</v>
      </c>
      <c r="M420" s="272"/>
    </row>
    <row r="421" spans="1:13" s="1" customFormat="1" ht="12.75" customHeight="1" outlineLevel="1" x14ac:dyDescent="0.2">
      <c r="A421" s="164">
        <v>45573</v>
      </c>
      <c r="B421" s="164">
        <v>45575</v>
      </c>
      <c r="C421" s="160" t="s">
        <v>136</v>
      </c>
      <c r="D421" s="172" t="s">
        <v>242</v>
      </c>
      <c r="E421" s="158">
        <v>45748</v>
      </c>
      <c r="F421" s="166" t="s">
        <v>128</v>
      </c>
      <c r="G421" s="166">
        <v>6.1499999999999999E-2</v>
      </c>
      <c r="H421" s="166">
        <v>6.25E-2</v>
      </c>
      <c r="I421" s="166">
        <v>6.2300000000000001E-2</v>
      </c>
      <c r="J421" s="166">
        <v>6.25E-2</v>
      </c>
      <c r="K421" s="257">
        <v>2155000</v>
      </c>
      <c r="L421" s="257">
        <v>600000</v>
      </c>
      <c r="M421" s="170">
        <f>IF(L421=0,0,K421/L421)</f>
        <v>3.5916666666666668</v>
      </c>
    </row>
    <row r="422" spans="1:13" s="1" customFormat="1" ht="12.75" customHeight="1" outlineLevel="1" x14ac:dyDescent="0.2">
      <c r="A422" s="164"/>
      <c r="B422" s="164"/>
      <c r="C422" s="160"/>
      <c r="D422" s="172" t="s">
        <v>273</v>
      </c>
      <c r="E422" s="158">
        <v>45845</v>
      </c>
      <c r="F422" s="166" t="s">
        <v>128</v>
      </c>
      <c r="G422" s="166">
        <v>6.0999999999999999E-2</v>
      </c>
      <c r="H422" s="166">
        <v>6.3500000000000001E-2</v>
      </c>
      <c r="I422" s="166">
        <v>6.21443E-2</v>
      </c>
      <c r="J422" s="166">
        <v>6.3E-2</v>
      </c>
      <c r="K422" s="257">
        <v>4365000</v>
      </c>
      <c r="L422" s="257">
        <v>2800000</v>
      </c>
      <c r="M422" s="170">
        <f t="shared" ref="M422:M427" si="71">IF(L422=0,0,K422/L422)</f>
        <v>1.5589285714285714</v>
      </c>
    </row>
    <row r="423" spans="1:13" s="1" customFormat="1" ht="12.75" customHeight="1" outlineLevel="1" x14ac:dyDescent="0.2">
      <c r="A423" s="164"/>
      <c r="B423" s="158"/>
      <c r="C423" s="160"/>
      <c r="D423" s="172" t="s">
        <v>150</v>
      </c>
      <c r="E423" s="158">
        <v>46218</v>
      </c>
      <c r="F423" s="166">
        <v>4.8750000000000002E-2</v>
      </c>
      <c r="G423" s="166">
        <v>6.2799999999999995E-2</v>
      </c>
      <c r="H423" s="166">
        <v>6.6500000000000004E-2</v>
      </c>
      <c r="I423" s="166">
        <v>6.3992099999999996E-2</v>
      </c>
      <c r="J423" s="166">
        <v>6.4500000000000002E-2</v>
      </c>
      <c r="K423" s="257">
        <v>2006500</v>
      </c>
      <c r="L423" s="257">
        <v>1750000</v>
      </c>
      <c r="M423" s="170">
        <f t="shared" si="71"/>
        <v>1.1465714285714286</v>
      </c>
    </row>
    <row r="424" spans="1:13" s="1" customFormat="1" ht="12.75" customHeight="1" outlineLevel="1" x14ac:dyDescent="0.2">
      <c r="A424" s="156"/>
      <c r="B424" s="156"/>
      <c r="C424" s="156"/>
      <c r="D424" s="2" t="s">
        <v>151</v>
      </c>
      <c r="E424" s="158">
        <v>46949</v>
      </c>
      <c r="F424" s="166">
        <v>5.8749999999999997E-2</v>
      </c>
      <c r="G424" s="166">
        <v>6.4299999999999996E-2</v>
      </c>
      <c r="H424" s="166">
        <v>6.6000000000000003E-2</v>
      </c>
      <c r="I424" s="166">
        <v>6.4895800000000003E-2</v>
      </c>
      <c r="J424" s="166">
        <v>6.5000000000000002E-2</v>
      </c>
      <c r="K424" s="257">
        <v>2264000</v>
      </c>
      <c r="L424" s="257">
        <v>750000</v>
      </c>
      <c r="M424" s="170">
        <f t="shared" si="71"/>
        <v>3.0186666666666668</v>
      </c>
    </row>
    <row r="425" spans="1:13" s="1" customFormat="1" ht="12.75" customHeight="1" outlineLevel="1" x14ac:dyDescent="0.2">
      <c r="A425" s="181"/>
      <c r="B425" s="156"/>
      <c r="C425" s="182"/>
      <c r="D425" s="2" t="s">
        <v>53</v>
      </c>
      <c r="E425" s="158">
        <v>50086</v>
      </c>
      <c r="F425" s="166">
        <v>6.0999999999999999E-2</v>
      </c>
      <c r="G425" s="166">
        <v>6.7400000000000002E-2</v>
      </c>
      <c r="H425" s="166">
        <v>6.9000000000000006E-2</v>
      </c>
      <c r="I425" s="166">
        <v>6.7992300000000006E-2</v>
      </c>
      <c r="J425" s="166">
        <v>6.8500000000000005E-2</v>
      </c>
      <c r="K425" s="257">
        <v>260000</v>
      </c>
      <c r="L425" s="257">
        <v>100000</v>
      </c>
      <c r="M425" s="170">
        <f t="shared" si="71"/>
        <v>2.6</v>
      </c>
    </row>
    <row r="426" spans="1:13" s="1" customFormat="1" ht="12.75" customHeight="1" outlineLevel="1" x14ac:dyDescent="0.2">
      <c r="A426" s="181"/>
      <c r="B426" s="156"/>
      <c r="C426" s="182"/>
      <c r="D426" s="2" t="s">
        <v>152</v>
      </c>
      <c r="E426" s="158">
        <v>51697</v>
      </c>
      <c r="F426" s="166">
        <v>6.6250000000000003E-2</v>
      </c>
      <c r="G426" s="166">
        <v>6.7799999999999999E-2</v>
      </c>
      <c r="H426" s="166">
        <v>7.0000000000000007E-2</v>
      </c>
      <c r="I426" s="166">
        <v>6.8958099999999994E-2</v>
      </c>
      <c r="J426" s="166">
        <v>6.9500000000000006E-2</v>
      </c>
      <c r="K426" s="257">
        <v>171400</v>
      </c>
      <c r="L426" s="257">
        <v>100000</v>
      </c>
      <c r="M426" s="170">
        <f t="shared" si="71"/>
        <v>1.714</v>
      </c>
    </row>
    <row r="427" spans="1:13" s="1" customFormat="1" ht="12.75" customHeight="1" outlineLevel="1" x14ac:dyDescent="0.2">
      <c r="A427" s="181"/>
      <c r="B427" s="156"/>
      <c r="C427" s="182"/>
      <c r="D427" s="172" t="s">
        <v>142</v>
      </c>
      <c r="E427" s="158">
        <v>54772</v>
      </c>
      <c r="F427" s="166">
        <v>6.8750000000000006E-2</v>
      </c>
      <c r="G427" s="166">
        <v>6.9500000000000006E-2</v>
      </c>
      <c r="H427" s="166">
        <v>7.1800000000000003E-2</v>
      </c>
      <c r="I427" s="166">
        <v>7.0497199999999996E-2</v>
      </c>
      <c r="J427" s="166">
        <v>7.0599999999999996E-2</v>
      </c>
      <c r="K427" s="257">
        <v>3624500</v>
      </c>
      <c r="L427" s="257">
        <v>1650000</v>
      </c>
      <c r="M427" s="170">
        <f t="shared" si="71"/>
        <v>2.1966666666666668</v>
      </c>
    </row>
    <row r="428" spans="1:13" s="1" customFormat="1" ht="12.75" customHeight="1" outlineLevel="1" x14ac:dyDescent="0.2">
      <c r="A428" s="315" t="s">
        <v>121</v>
      </c>
      <c r="B428" s="316"/>
      <c r="C428" s="316"/>
      <c r="D428" s="316"/>
      <c r="E428" s="316"/>
      <c r="F428" s="316"/>
      <c r="G428" s="316"/>
      <c r="H428" s="316"/>
      <c r="I428" s="316"/>
      <c r="J428" s="317"/>
      <c r="K428" s="255">
        <f>SUM(K421:K427)</f>
        <v>14846400</v>
      </c>
      <c r="L428" s="255">
        <f>SUM(L421:L427)</f>
        <v>7750000</v>
      </c>
      <c r="M428" s="165"/>
    </row>
    <row r="429" spans="1:13" ht="12" customHeight="1" outlineLevel="1" x14ac:dyDescent="0.2">
      <c r="A429" s="198">
        <v>45580</v>
      </c>
      <c r="B429" s="215">
        <v>45582</v>
      </c>
      <c r="C429" s="199" t="s">
        <v>136</v>
      </c>
      <c r="D429" s="184" t="s">
        <v>154</v>
      </c>
      <c r="E429" s="185">
        <v>45673</v>
      </c>
      <c r="F429" s="186" t="s">
        <v>128</v>
      </c>
      <c r="G429" s="202">
        <v>6.25E-2</v>
      </c>
      <c r="H429" s="202">
        <v>6.3E-2</v>
      </c>
      <c r="I429" s="194" t="s">
        <v>130</v>
      </c>
      <c r="J429" s="194" t="s">
        <v>130</v>
      </c>
      <c r="K429" s="216">
        <v>2105000</v>
      </c>
      <c r="L429" s="216">
        <v>0</v>
      </c>
      <c r="M429" s="188">
        <f t="shared" ref="M429:M435" si="72">IF(L429=0,0,K429/L429)</f>
        <v>0</v>
      </c>
    </row>
    <row r="430" spans="1:13" ht="12" customHeight="1" outlineLevel="1" x14ac:dyDescent="0.2">
      <c r="A430" s="198"/>
      <c r="B430" s="183"/>
      <c r="C430" s="199"/>
      <c r="D430" s="184" t="s">
        <v>267</v>
      </c>
      <c r="E430" s="185">
        <v>45932</v>
      </c>
      <c r="F430" s="186" t="s">
        <v>128</v>
      </c>
      <c r="G430" s="186">
        <v>6.0999999999999999E-2</v>
      </c>
      <c r="H430" s="287">
        <v>6.3E-2</v>
      </c>
      <c r="I430" s="288">
        <v>6.0999999999999999E-2</v>
      </c>
      <c r="J430" s="202">
        <v>6.0999999999999999E-2</v>
      </c>
      <c r="K430" s="289">
        <v>5018000</v>
      </c>
      <c r="L430" s="216">
        <v>2000000</v>
      </c>
      <c r="M430" s="188">
        <f t="shared" si="72"/>
        <v>2.5089999999999999</v>
      </c>
    </row>
    <row r="431" spans="1:13" ht="12.75" customHeight="1" outlineLevel="1" x14ac:dyDescent="0.2">
      <c r="A431" s="198"/>
      <c r="B431" s="185"/>
      <c r="C431" s="199"/>
      <c r="D431" s="184" t="s">
        <v>251</v>
      </c>
      <c r="E431" s="185">
        <v>47679</v>
      </c>
      <c r="F431" s="186">
        <v>6.5000000000000002E-2</v>
      </c>
      <c r="G431" s="186">
        <v>6.3799999999999996E-2</v>
      </c>
      <c r="H431" s="186">
        <v>6.5199999999999994E-2</v>
      </c>
      <c r="I431" s="187">
        <v>6.41988E-2</v>
      </c>
      <c r="J431" s="195">
        <v>6.4399999999999999E-2</v>
      </c>
      <c r="K431" s="216">
        <v>12083600</v>
      </c>
      <c r="L431" s="216">
        <v>7350000</v>
      </c>
      <c r="M431" s="188">
        <f t="shared" si="72"/>
        <v>1.6440272108843537</v>
      </c>
    </row>
    <row r="432" spans="1:13" ht="12.75" customHeight="1" outlineLevel="1" x14ac:dyDescent="0.2">
      <c r="A432" s="191"/>
      <c r="B432" s="189"/>
      <c r="C432" s="192"/>
      <c r="D432" s="184" t="s">
        <v>249</v>
      </c>
      <c r="E432" s="185">
        <v>49505</v>
      </c>
      <c r="F432" s="186">
        <v>6.7500000000000004E-2</v>
      </c>
      <c r="G432" s="186">
        <v>6.6699999999999995E-2</v>
      </c>
      <c r="H432" s="186">
        <v>6.8099999999999994E-2</v>
      </c>
      <c r="I432" s="196">
        <v>6.7098000000000005E-2</v>
      </c>
      <c r="J432" s="197">
        <v>6.7299999999999999E-2</v>
      </c>
      <c r="K432" s="216">
        <v>15212300</v>
      </c>
      <c r="L432" s="216">
        <v>11200000</v>
      </c>
      <c r="M432" s="188">
        <f t="shared" si="72"/>
        <v>1.3582410714285715</v>
      </c>
    </row>
    <row r="433" spans="1:13" ht="12.75" customHeight="1" outlineLevel="1" x14ac:dyDescent="0.2">
      <c r="A433" s="191"/>
      <c r="B433" s="189"/>
      <c r="C433" s="192"/>
      <c r="D433" s="184" t="s">
        <v>138</v>
      </c>
      <c r="E433" s="185">
        <v>50571</v>
      </c>
      <c r="F433" s="186">
        <v>7.1249999999999994E-2</v>
      </c>
      <c r="G433" s="186">
        <v>6.7500000000000004E-2</v>
      </c>
      <c r="H433" s="186">
        <v>6.9900000000000004E-2</v>
      </c>
      <c r="I433" s="187">
        <v>6.8099099999999996E-2</v>
      </c>
      <c r="J433" s="197">
        <v>6.83E-2</v>
      </c>
      <c r="K433" s="216">
        <v>3418500</v>
      </c>
      <c r="L433" s="216">
        <v>2100000</v>
      </c>
      <c r="M433" s="188">
        <f t="shared" si="72"/>
        <v>1.6278571428571429</v>
      </c>
    </row>
    <row r="434" spans="1:13" ht="12.75" customHeight="1" outlineLevel="1" x14ac:dyDescent="0.2">
      <c r="A434" s="191"/>
      <c r="B434" s="189"/>
      <c r="C434" s="192"/>
      <c r="D434" s="184" t="s">
        <v>137</v>
      </c>
      <c r="E434" s="185">
        <v>52397</v>
      </c>
      <c r="F434" s="186">
        <v>7.1249999999999994E-2</v>
      </c>
      <c r="G434" s="186">
        <v>6.8500000000000005E-2</v>
      </c>
      <c r="H434" s="186">
        <v>7.0000000000000007E-2</v>
      </c>
      <c r="I434" s="187">
        <v>6.8796300000000005E-2</v>
      </c>
      <c r="J434" s="195">
        <v>6.9000000000000006E-2</v>
      </c>
      <c r="K434" s="220">
        <v>2830900</v>
      </c>
      <c r="L434" s="220">
        <v>800000</v>
      </c>
      <c r="M434" s="188">
        <f t="shared" si="72"/>
        <v>3.5386250000000001</v>
      </c>
    </row>
    <row r="435" spans="1:13" ht="12.75" customHeight="1" outlineLevel="1" x14ac:dyDescent="0.2">
      <c r="A435" s="191"/>
      <c r="B435" s="200"/>
      <c r="C435" s="192"/>
      <c r="D435" s="184" t="s">
        <v>146</v>
      </c>
      <c r="E435" s="185">
        <v>56445</v>
      </c>
      <c r="F435" s="186">
        <v>6.8750000000000006E-2</v>
      </c>
      <c r="G435" s="186">
        <v>6.88E-2</v>
      </c>
      <c r="H435" s="186">
        <v>7.0300000000000001E-2</v>
      </c>
      <c r="I435" s="197">
        <v>6.9394800000000006E-2</v>
      </c>
      <c r="J435" s="196">
        <v>6.9699999999999998E-2</v>
      </c>
      <c r="K435" s="220">
        <v>3597400</v>
      </c>
      <c r="L435" s="220">
        <v>1550000</v>
      </c>
      <c r="M435" s="201">
        <f t="shared" si="72"/>
        <v>2.3209032258064517</v>
      </c>
    </row>
    <row r="436" spans="1:13" s="1" customFormat="1" ht="12.75" customHeight="1" outlineLevel="1" x14ac:dyDescent="0.2">
      <c r="A436" s="321" t="s">
        <v>121</v>
      </c>
      <c r="B436" s="322"/>
      <c r="C436" s="323"/>
      <c r="D436" s="323"/>
      <c r="E436" s="323"/>
      <c r="F436" s="323"/>
      <c r="G436" s="323"/>
      <c r="H436" s="323"/>
      <c r="I436" s="323"/>
      <c r="J436" s="324"/>
      <c r="K436" s="190">
        <f>SUM(K429:K435)</f>
        <v>44265700</v>
      </c>
      <c r="L436" s="190">
        <f>SUM(L429:L435)</f>
        <v>25000000</v>
      </c>
      <c r="M436" s="193"/>
    </row>
    <row r="437" spans="1:13" s="1" customFormat="1" ht="12.75" customHeight="1" outlineLevel="1" x14ac:dyDescent="0.2">
      <c r="A437" s="164">
        <v>45587</v>
      </c>
      <c r="B437" s="164">
        <v>45589</v>
      </c>
      <c r="C437" s="160" t="s">
        <v>136</v>
      </c>
      <c r="D437" s="172" t="s">
        <v>242</v>
      </c>
      <c r="E437" s="158">
        <v>45748</v>
      </c>
      <c r="F437" s="166" t="s">
        <v>128</v>
      </c>
      <c r="G437" s="258">
        <v>6.2E-2</v>
      </c>
      <c r="H437" s="166">
        <v>6.3E-2</v>
      </c>
      <c r="I437" s="166">
        <v>6.2100000000000002E-2</v>
      </c>
      <c r="J437" s="166">
        <v>6.2300000000000001E-2</v>
      </c>
      <c r="K437" s="256">
        <v>2715000</v>
      </c>
      <c r="L437" s="257">
        <v>2250000</v>
      </c>
      <c r="M437" s="170">
        <f>IF(L437=0,0,K437/L437)</f>
        <v>1.2066666666666668</v>
      </c>
    </row>
    <row r="438" spans="1:13" s="1" customFormat="1" ht="12.75" customHeight="1" outlineLevel="1" x14ac:dyDescent="0.2">
      <c r="A438" s="164"/>
      <c r="B438" s="164"/>
      <c r="C438" s="160"/>
      <c r="D438" s="172" t="s">
        <v>273</v>
      </c>
      <c r="E438" s="158">
        <v>45845</v>
      </c>
      <c r="F438" s="166" t="s">
        <v>128</v>
      </c>
      <c r="G438" s="258">
        <v>6.25E-2</v>
      </c>
      <c r="H438" s="166">
        <v>6.3500000000000001E-2</v>
      </c>
      <c r="I438" s="166">
        <v>6.25E-2</v>
      </c>
      <c r="J438" s="166">
        <v>6.25E-2</v>
      </c>
      <c r="K438" s="256">
        <v>3397000</v>
      </c>
      <c r="L438" s="257">
        <v>3050000</v>
      </c>
      <c r="M438" s="170">
        <f>IF(L438=0,0,K438/L438)</f>
        <v>1.1137704918032787</v>
      </c>
    </row>
    <row r="439" spans="1:13" s="1" customFormat="1" ht="12.75" customHeight="1" outlineLevel="1" x14ac:dyDescent="0.2">
      <c r="A439" s="164"/>
      <c r="B439" s="158"/>
      <c r="C439" s="160"/>
      <c r="D439" s="172" t="s">
        <v>150</v>
      </c>
      <c r="E439" s="158">
        <v>46218</v>
      </c>
      <c r="F439" s="166">
        <v>4.8750000000000002E-2</v>
      </c>
      <c r="G439" s="166">
        <v>6.3799999999999996E-2</v>
      </c>
      <c r="H439" s="166">
        <v>6.6299999999999998E-2</v>
      </c>
      <c r="I439" s="175">
        <v>6.4490099999999995E-2</v>
      </c>
      <c r="J439" s="175">
        <v>6.4699999999999994E-2</v>
      </c>
      <c r="K439" s="256">
        <v>1719400</v>
      </c>
      <c r="L439" s="256">
        <v>700000</v>
      </c>
      <c r="M439" s="170">
        <f t="shared" ref="M439:M443" si="73">IF(L439=0,0,K439/L439)</f>
        <v>2.4562857142857144</v>
      </c>
    </row>
    <row r="440" spans="1:13" s="1" customFormat="1" ht="12.75" customHeight="1" outlineLevel="1" x14ac:dyDescent="0.2">
      <c r="A440" s="156"/>
      <c r="B440" s="156"/>
      <c r="C440" s="156"/>
      <c r="D440" s="2" t="s">
        <v>151</v>
      </c>
      <c r="E440" s="158">
        <v>46949</v>
      </c>
      <c r="F440" s="177">
        <v>5.8749999999999997E-2</v>
      </c>
      <c r="G440" s="166">
        <v>6.4100000000000004E-2</v>
      </c>
      <c r="H440" s="166">
        <v>6.6799999999999998E-2</v>
      </c>
      <c r="I440" s="175">
        <v>6.4621799999999993E-2</v>
      </c>
      <c r="J440" s="175">
        <v>6.4799999999999996E-2</v>
      </c>
      <c r="K440" s="256">
        <v>2682500</v>
      </c>
      <c r="L440" s="256">
        <v>1000000</v>
      </c>
      <c r="M440" s="170">
        <f t="shared" si="73"/>
        <v>2.6825000000000001</v>
      </c>
    </row>
    <row r="441" spans="1:13" s="1" customFormat="1" ht="12.75" customHeight="1" outlineLevel="1" x14ac:dyDescent="0.2">
      <c r="A441" s="181"/>
      <c r="B441" s="156"/>
      <c r="C441" s="182"/>
      <c r="D441" s="172" t="s">
        <v>263</v>
      </c>
      <c r="E441" s="158">
        <v>49018</v>
      </c>
      <c r="F441" s="166">
        <v>6.3750000000000001E-2</v>
      </c>
      <c r="G441" s="166">
        <v>6.6500000000000004E-2</v>
      </c>
      <c r="H441" s="166">
        <v>6.8900000000000003E-2</v>
      </c>
      <c r="I441" s="175">
        <v>6.6798099999999999E-2</v>
      </c>
      <c r="J441" s="175">
        <v>6.7000000000000004E-2</v>
      </c>
      <c r="K441" s="256">
        <v>1140000</v>
      </c>
      <c r="L441" s="256">
        <v>900000</v>
      </c>
      <c r="M441" s="170">
        <f t="shared" si="73"/>
        <v>1.2666666666666666</v>
      </c>
    </row>
    <row r="442" spans="1:13" s="1" customFormat="1" ht="12.75" customHeight="1" outlineLevel="1" x14ac:dyDescent="0.2">
      <c r="A442" s="181"/>
      <c r="B442" s="156"/>
      <c r="C442" s="182"/>
      <c r="D442" s="172" t="s">
        <v>53</v>
      </c>
      <c r="E442" s="158">
        <v>50086</v>
      </c>
      <c r="F442" s="166">
        <v>6.0999999999999999E-2</v>
      </c>
      <c r="G442" s="166">
        <v>6.7699999999999996E-2</v>
      </c>
      <c r="H442" s="166">
        <v>7.0300000000000001E-2</v>
      </c>
      <c r="I442" s="175">
        <v>6.8265400000000004E-2</v>
      </c>
      <c r="J442" s="175">
        <v>6.83E-2</v>
      </c>
      <c r="K442" s="256">
        <v>864000</v>
      </c>
      <c r="L442" s="256">
        <v>150000</v>
      </c>
      <c r="M442" s="170">
        <f t="shared" si="73"/>
        <v>5.76</v>
      </c>
    </row>
    <row r="443" spans="1:13" s="1" customFormat="1" ht="12.75" customHeight="1" outlineLevel="1" x14ac:dyDescent="0.2">
      <c r="A443" s="181"/>
      <c r="B443" s="156"/>
      <c r="C443" s="182"/>
      <c r="D443" s="172" t="s">
        <v>142</v>
      </c>
      <c r="E443" s="158">
        <v>54772</v>
      </c>
      <c r="F443" s="166">
        <v>6.8750000000000006E-2</v>
      </c>
      <c r="G443" s="166">
        <v>6.9199999999999998E-2</v>
      </c>
      <c r="H443" s="166">
        <v>7.2300000000000003E-2</v>
      </c>
      <c r="I443" s="175">
        <v>6.9797300000000007E-2</v>
      </c>
      <c r="J443" s="175">
        <v>6.9900000000000004E-2</v>
      </c>
      <c r="K443" s="256">
        <v>4953000</v>
      </c>
      <c r="L443" s="256">
        <v>1950000</v>
      </c>
      <c r="M443" s="170">
        <f t="shared" si="73"/>
        <v>2.54</v>
      </c>
    </row>
    <row r="444" spans="1:13" s="1" customFormat="1" ht="12.75" customHeight="1" outlineLevel="1" x14ac:dyDescent="0.2">
      <c r="A444" s="315" t="s">
        <v>121</v>
      </c>
      <c r="B444" s="316"/>
      <c r="C444" s="316"/>
      <c r="D444" s="316"/>
      <c r="E444" s="316"/>
      <c r="F444" s="316"/>
      <c r="G444" s="316"/>
      <c r="H444" s="316"/>
      <c r="I444" s="316"/>
      <c r="J444" s="317"/>
      <c r="K444" s="255">
        <f>SUM(K437:K443)</f>
        <v>17470900</v>
      </c>
      <c r="L444" s="255">
        <f>SUM(L437:L443)</f>
        <v>10000000</v>
      </c>
      <c r="M444" s="165"/>
    </row>
    <row r="445" spans="1:13" ht="12.75" customHeight="1" x14ac:dyDescent="0.2">
      <c r="A445" s="237">
        <v>45589</v>
      </c>
      <c r="B445" s="238">
        <v>45595</v>
      </c>
      <c r="C445" s="239" t="s">
        <v>155</v>
      </c>
      <c r="D445" s="240" t="s">
        <v>275</v>
      </c>
      <c r="E445" s="241">
        <v>46675</v>
      </c>
      <c r="F445" s="242">
        <v>6.3E-2</v>
      </c>
      <c r="G445" s="242"/>
      <c r="H445" s="242"/>
      <c r="I445" s="194"/>
      <c r="J445" s="194"/>
      <c r="K445" s="243">
        <v>16313510</v>
      </c>
      <c r="L445" s="243">
        <f>K445</f>
        <v>16313510</v>
      </c>
      <c r="M445" s="244">
        <f>IF(L445=0,0,K445/L445)</f>
        <v>1</v>
      </c>
    </row>
    <row r="446" spans="1:13" ht="12.75" customHeight="1" x14ac:dyDescent="0.2">
      <c r="A446" s="245"/>
      <c r="B446" s="246"/>
      <c r="C446" s="247"/>
      <c r="D446" s="248" t="s">
        <v>276</v>
      </c>
      <c r="E446" s="249">
        <v>47771</v>
      </c>
      <c r="F446" s="250">
        <v>6.4000000000000001E-2</v>
      </c>
      <c r="G446" s="250"/>
      <c r="H446" s="250"/>
      <c r="I446" s="251"/>
      <c r="J446" s="251"/>
      <c r="K446" s="252">
        <v>3042834</v>
      </c>
      <c r="L446" s="252">
        <f>K446</f>
        <v>3042834</v>
      </c>
      <c r="M446" s="253">
        <f>IF(L446=0,0,K446/L446)</f>
        <v>1</v>
      </c>
    </row>
    <row r="447" spans="1:13" ht="12" customHeight="1" x14ac:dyDescent="0.2">
      <c r="A447" s="325" t="s">
        <v>121</v>
      </c>
      <c r="B447" s="322"/>
      <c r="C447" s="322"/>
      <c r="D447" s="322"/>
      <c r="E447" s="322"/>
      <c r="F447" s="322"/>
      <c r="G447" s="322"/>
      <c r="H447" s="322"/>
      <c r="I447" s="322"/>
      <c r="J447" s="326"/>
      <c r="K447" s="254">
        <f>SUM(K445:K446)</f>
        <v>19356344</v>
      </c>
      <c r="L447" s="254">
        <f>SUM(L445:L446)</f>
        <v>19356344</v>
      </c>
      <c r="M447" s="213"/>
    </row>
    <row r="448" spans="1:13" ht="12" customHeight="1" outlineLevel="1" x14ac:dyDescent="0.2">
      <c r="A448" s="198">
        <v>45594</v>
      </c>
      <c r="B448" s="215">
        <v>45596</v>
      </c>
      <c r="C448" s="199" t="s">
        <v>136</v>
      </c>
      <c r="D448" s="184" t="s">
        <v>277</v>
      </c>
      <c r="E448" s="185">
        <v>45686</v>
      </c>
      <c r="F448" s="186" t="s">
        <v>128</v>
      </c>
      <c r="G448" s="202">
        <v>6.3500000000000001E-2</v>
      </c>
      <c r="H448" s="202">
        <v>6.3500000000000001E-2</v>
      </c>
      <c r="I448" s="194" t="s">
        <v>130</v>
      </c>
      <c r="J448" s="194" t="s">
        <v>130</v>
      </c>
      <c r="K448" s="216">
        <v>2518000</v>
      </c>
      <c r="L448" s="216">
        <v>0</v>
      </c>
      <c r="M448" s="188">
        <f t="shared" ref="M448:M455" si="74">IF(L448=0,0,K448/L448)</f>
        <v>0</v>
      </c>
    </row>
    <row r="449" spans="1:13" ht="12" customHeight="1" outlineLevel="1" x14ac:dyDescent="0.2">
      <c r="A449" s="198"/>
      <c r="B449" s="183"/>
      <c r="C449" s="199"/>
      <c r="D449" s="184" t="s">
        <v>278</v>
      </c>
      <c r="E449" s="185">
        <v>45960</v>
      </c>
      <c r="F449" s="186" t="s">
        <v>128</v>
      </c>
      <c r="G449" s="186">
        <v>6.1499999999999999E-2</v>
      </c>
      <c r="H449" s="287">
        <v>6.2799999999999995E-2</v>
      </c>
      <c r="I449" s="288">
        <v>6.1499999999999999E-2</v>
      </c>
      <c r="J449" s="202">
        <v>6.1499999999999999E-2</v>
      </c>
      <c r="K449" s="289">
        <v>3525000</v>
      </c>
      <c r="L449" s="216">
        <v>3300000</v>
      </c>
      <c r="M449" s="188">
        <f t="shared" si="74"/>
        <v>1.0681818181818181</v>
      </c>
    </row>
    <row r="450" spans="1:13" ht="12.75" customHeight="1" outlineLevel="1" x14ac:dyDescent="0.2">
      <c r="A450" s="198"/>
      <c r="B450" s="185"/>
      <c r="C450" s="199"/>
      <c r="D450" s="184" t="s">
        <v>251</v>
      </c>
      <c r="E450" s="185">
        <v>47679</v>
      </c>
      <c r="F450" s="186">
        <v>6.5000000000000002E-2</v>
      </c>
      <c r="G450" s="186">
        <v>6.7000000000000004E-2</v>
      </c>
      <c r="H450" s="186">
        <v>6.9800000000000001E-2</v>
      </c>
      <c r="I450" s="187">
        <v>6.7695400000000003E-2</v>
      </c>
      <c r="J450" s="195">
        <v>6.8199999999999997E-2</v>
      </c>
      <c r="K450" s="216">
        <v>4761500</v>
      </c>
      <c r="L450" s="216">
        <v>3250000</v>
      </c>
      <c r="M450" s="188">
        <f t="shared" si="74"/>
        <v>1.4650769230769232</v>
      </c>
    </row>
    <row r="451" spans="1:13" ht="12.75" customHeight="1" outlineLevel="1" x14ac:dyDescent="0.2">
      <c r="A451" s="191"/>
      <c r="B451" s="189"/>
      <c r="C451" s="192"/>
      <c r="D451" s="184" t="s">
        <v>162</v>
      </c>
      <c r="E451" s="185">
        <v>47771</v>
      </c>
      <c r="F451" s="186">
        <v>7.3749999999999996E-2</v>
      </c>
      <c r="G451" s="186">
        <v>6.5600000000000006E-2</v>
      </c>
      <c r="H451" s="186">
        <v>6.9000000000000006E-2</v>
      </c>
      <c r="I451" s="202">
        <v>6.7191100000000004E-2</v>
      </c>
      <c r="J451" s="202">
        <v>6.8500000000000005E-2</v>
      </c>
      <c r="K451" s="216">
        <v>1967300</v>
      </c>
      <c r="L451" s="219">
        <v>1650000</v>
      </c>
      <c r="M451" s="188">
        <f t="shared" si="74"/>
        <v>1.1923030303030302</v>
      </c>
    </row>
    <row r="452" spans="1:13" ht="12.75" customHeight="1" outlineLevel="1" x14ac:dyDescent="0.2">
      <c r="A452" s="191"/>
      <c r="B452" s="189"/>
      <c r="C452" s="192"/>
      <c r="D452" s="184" t="s">
        <v>249</v>
      </c>
      <c r="E452" s="185">
        <v>49505</v>
      </c>
      <c r="F452" s="186">
        <v>6.7500000000000004E-2</v>
      </c>
      <c r="G452" s="186">
        <v>6.8699999999999997E-2</v>
      </c>
      <c r="H452" s="186">
        <v>7.0499999999999993E-2</v>
      </c>
      <c r="I452" s="196">
        <v>6.9398500000000002E-2</v>
      </c>
      <c r="J452" s="197">
        <v>6.9500000000000006E-2</v>
      </c>
      <c r="K452" s="216">
        <v>5701000</v>
      </c>
      <c r="L452" s="216">
        <v>2100000</v>
      </c>
      <c r="M452" s="188">
        <f t="shared" si="74"/>
        <v>2.7147619047619047</v>
      </c>
    </row>
    <row r="453" spans="1:13" ht="12.75" customHeight="1" outlineLevel="1" x14ac:dyDescent="0.2">
      <c r="A453" s="191"/>
      <c r="B453" s="189"/>
      <c r="C453" s="192"/>
      <c r="D453" s="184" t="s">
        <v>138</v>
      </c>
      <c r="E453" s="185">
        <v>50571</v>
      </c>
      <c r="F453" s="186">
        <v>7.1249999999999994E-2</v>
      </c>
      <c r="G453" s="186">
        <v>6.9800000000000001E-2</v>
      </c>
      <c r="H453" s="186">
        <v>7.1400000000000005E-2</v>
      </c>
      <c r="I453" s="187">
        <v>7.0480299999999996E-2</v>
      </c>
      <c r="J453" s="197">
        <v>7.0999999999999994E-2</v>
      </c>
      <c r="K453" s="216">
        <v>3189400</v>
      </c>
      <c r="L453" s="216">
        <v>3100000</v>
      </c>
      <c r="M453" s="188">
        <f t="shared" si="74"/>
        <v>1.0288387096774194</v>
      </c>
    </row>
    <row r="454" spans="1:13" ht="12.75" customHeight="1" outlineLevel="1" x14ac:dyDescent="0.2">
      <c r="A454" s="191"/>
      <c r="B454" s="189"/>
      <c r="C454" s="192"/>
      <c r="D454" s="184" t="s">
        <v>137</v>
      </c>
      <c r="E454" s="185">
        <v>52397</v>
      </c>
      <c r="F454" s="186">
        <v>7.1249999999999994E-2</v>
      </c>
      <c r="G454" s="186">
        <v>7.0199999999999999E-2</v>
      </c>
      <c r="H454" s="186">
        <v>7.1900000000000006E-2</v>
      </c>
      <c r="I454" s="187">
        <v>7.0566100000000007E-2</v>
      </c>
      <c r="J454" s="195">
        <v>7.0999999999999994E-2</v>
      </c>
      <c r="K454" s="220">
        <v>3209400</v>
      </c>
      <c r="L454" s="220">
        <v>3000000</v>
      </c>
      <c r="M454" s="188">
        <f t="shared" si="74"/>
        <v>1.0698000000000001</v>
      </c>
    </row>
    <row r="455" spans="1:13" ht="12.75" customHeight="1" outlineLevel="1" x14ac:dyDescent="0.2">
      <c r="A455" s="191"/>
      <c r="B455" s="200"/>
      <c r="C455" s="192"/>
      <c r="D455" s="184" t="s">
        <v>257</v>
      </c>
      <c r="E455" s="185">
        <v>60098</v>
      </c>
      <c r="F455" s="186">
        <v>6.8750000000000006E-2</v>
      </c>
      <c r="G455" s="186">
        <v>6.9599999999999995E-2</v>
      </c>
      <c r="H455" s="186">
        <v>7.2499999999999995E-2</v>
      </c>
      <c r="I455" s="197">
        <v>7.0594699999999996E-2</v>
      </c>
      <c r="J455" s="196">
        <v>7.0999999999999994E-2</v>
      </c>
      <c r="K455" s="220">
        <v>4708400</v>
      </c>
      <c r="L455" s="220">
        <v>2450000</v>
      </c>
      <c r="M455" s="201">
        <f t="shared" si="74"/>
        <v>1.921795918367347</v>
      </c>
    </row>
    <row r="456" spans="1:13" s="1" customFormat="1" ht="12.75" customHeight="1" outlineLevel="1" x14ac:dyDescent="0.2">
      <c r="A456" s="321" t="s">
        <v>121</v>
      </c>
      <c r="B456" s="322"/>
      <c r="C456" s="323"/>
      <c r="D456" s="323"/>
      <c r="E456" s="323"/>
      <c r="F456" s="323"/>
      <c r="G456" s="323"/>
      <c r="H456" s="323"/>
      <c r="I456" s="323"/>
      <c r="J456" s="324"/>
      <c r="K456" s="190">
        <f>SUM(K448:K455)</f>
        <v>29580000</v>
      </c>
      <c r="L456" s="190">
        <f>SUM(L448:L455)</f>
        <v>18850000</v>
      </c>
      <c r="M456" s="193"/>
    </row>
    <row r="457" spans="1:13" x14ac:dyDescent="0.2">
      <c r="A457" s="339" t="s">
        <v>265</v>
      </c>
      <c r="B457" s="340"/>
      <c r="C457" s="340"/>
      <c r="D457" s="340"/>
      <c r="E457" s="340"/>
      <c r="F457" s="340"/>
      <c r="G457" s="340"/>
      <c r="H457" s="340"/>
      <c r="I457" s="340"/>
      <c r="J457" s="341"/>
      <c r="K457" s="275">
        <f>K418+K420+K428+K436+K444+K447+K456</f>
        <v>175168844</v>
      </c>
      <c r="L457" s="275">
        <f>L418+L420+L428+L436+L444+L447+L456</f>
        <v>107956344</v>
      </c>
      <c r="M457" s="276"/>
    </row>
    <row r="458" spans="1:13" x14ac:dyDescent="0.2">
      <c r="A458" s="339" t="s">
        <v>274</v>
      </c>
      <c r="B458" s="340"/>
      <c r="C458" s="340"/>
      <c r="D458" s="340"/>
      <c r="E458" s="340"/>
      <c r="F458" s="340"/>
      <c r="G458" s="340"/>
      <c r="H458" s="340"/>
      <c r="I458" s="340"/>
      <c r="J458" s="341"/>
      <c r="K458" s="275">
        <f>K410+K457</f>
        <v>1914952274</v>
      </c>
      <c r="L458" s="275">
        <f>L410+L457</f>
        <v>974820574</v>
      </c>
      <c r="M458" s="213"/>
    </row>
    <row r="459" spans="1:13" x14ac:dyDescent="0.2">
      <c r="A459" s="164">
        <v>45601</v>
      </c>
      <c r="B459" s="164">
        <v>45603</v>
      </c>
      <c r="C459" s="160" t="s">
        <v>136</v>
      </c>
      <c r="D459" s="172" t="s">
        <v>245</v>
      </c>
      <c r="E459" s="158">
        <v>45806</v>
      </c>
      <c r="F459" s="166" t="s">
        <v>128</v>
      </c>
      <c r="G459" s="258">
        <v>6.2E-2</v>
      </c>
      <c r="H459" s="166">
        <v>6.3500000000000001E-2</v>
      </c>
      <c r="I459" s="166">
        <v>6.2E-2</v>
      </c>
      <c r="J459" s="166">
        <v>6.2E-2</v>
      </c>
      <c r="K459" s="256">
        <v>2225000</v>
      </c>
      <c r="L459" s="257">
        <v>2100000</v>
      </c>
      <c r="M459" s="170">
        <f>IF(L459=0,0,K459/L459)</f>
        <v>1.0595238095238095</v>
      </c>
    </row>
    <row r="460" spans="1:13" x14ac:dyDescent="0.2">
      <c r="A460" s="164"/>
      <c r="B460" s="164"/>
      <c r="C460" s="160"/>
      <c r="D460" s="172" t="s">
        <v>280</v>
      </c>
      <c r="E460" s="158">
        <v>45873</v>
      </c>
      <c r="F460" s="166" t="s">
        <v>128</v>
      </c>
      <c r="G460" s="258">
        <v>6.2199999999999998E-2</v>
      </c>
      <c r="H460" s="166">
        <v>6.4000000000000001E-2</v>
      </c>
      <c r="I460" s="166">
        <v>6.2439399999999999E-2</v>
      </c>
      <c r="J460" s="166">
        <v>6.25E-2</v>
      </c>
      <c r="K460" s="256">
        <v>3822000</v>
      </c>
      <c r="L460" s="257">
        <v>3600000</v>
      </c>
      <c r="M460" s="170">
        <f>IF(L460=0,0,K460/L460)</f>
        <v>1.0616666666666668</v>
      </c>
    </row>
    <row r="461" spans="1:13" x14ac:dyDescent="0.2">
      <c r="A461" s="164"/>
      <c r="B461" s="158"/>
      <c r="C461" s="160"/>
      <c r="D461" s="172" t="s">
        <v>150</v>
      </c>
      <c r="E461" s="158">
        <v>46218</v>
      </c>
      <c r="F461" s="166">
        <v>4.8750000000000002E-2</v>
      </c>
      <c r="G461" s="166">
        <v>6.5600000000000006E-2</v>
      </c>
      <c r="H461" s="166">
        <v>6.8000000000000005E-2</v>
      </c>
      <c r="I461" s="175">
        <v>6.6196199999999997E-2</v>
      </c>
      <c r="J461" s="175">
        <v>6.6600000000000006E-2</v>
      </c>
      <c r="K461" s="256">
        <v>2626500</v>
      </c>
      <c r="L461" s="256">
        <v>2250000</v>
      </c>
      <c r="M461" s="170">
        <f t="shared" ref="M461:M465" si="75">IF(L461=0,0,K461/L461)</f>
        <v>1.1673333333333333</v>
      </c>
    </row>
    <row r="462" spans="1:13" x14ac:dyDescent="0.2">
      <c r="A462" s="156"/>
      <c r="B462" s="156"/>
      <c r="C462" s="156"/>
      <c r="D462" s="2" t="s">
        <v>151</v>
      </c>
      <c r="E462" s="158">
        <v>46949</v>
      </c>
      <c r="F462" s="177">
        <v>5.8749999999999997E-2</v>
      </c>
      <c r="G462" s="166">
        <v>6.5299999999999997E-2</v>
      </c>
      <c r="H462" s="166">
        <v>6.8099999999999994E-2</v>
      </c>
      <c r="I462" s="175">
        <v>6.5962999999999994E-2</v>
      </c>
      <c r="J462" s="175">
        <v>6.6600000000000006E-2</v>
      </c>
      <c r="K462" s="256">
        <v>1233000</v>
      </c>
      <c r="L462" s="256">
        <v>800000</v>
      </c>
      <c r="M462" s="170">
        <f t="shared" si="75"/>
        <v>1.54125</v>
      </c>
    </row>
    <row r="463" spans="1:13" x14ac:dyDescent="0.2">
      <c r="A463" s="181"/>
      <c r="B463" s="156"/>
      <c r="C463" s="182"/>
      <c r="D463" s="172" t="s">
        <v>53</v>
      </c>
      <c r="E463" s="158">
        <v>50086</v>
      </c>
      <c r="F463" s="166">
        <v>6.0999999999999999E-2</v>
      </c>
      <c r="G463" s="166">
        <v>6.8199999999999997E-2</v>
      </c>
      <c r="H463" s="166">
        <v>6.9599999999999995E-2</v>
      </c>
      <c r="I463" s="175">
        <v>6.8479999999999999E-2</v>
      </c>
      <c r="J463" s="175">
        <v>6.8500000000000005E-2</v>
      </c>
      <c r="K463" s="256">
        <v>424500</v>
      </c>
      <c r="L463" s="256">
        <v>150000</v>
      </c>
      <c r="M463" s="170">
        <f t="shared" si="75"/>
        <v>2.83</v>
      </c>
    </row>
    <row r="464" spans="1:13" x14ac:dyDescent="0.2">
      <c r="A464" s="181"/>
      <c r="B464" s="156"/>
      <c r="C464" s="182"/>
      <c r="D464" s="2" t="s">
        <v>152</v>
      </c>
      <c r="E464" s="158">
        <v>51697</v>
      </c>
      <c r="F464" s="177">
        <v>6.6250000000000003E-2</v>
      </c>
      <c r="G464" s="166">
        <v>6.8199999999999997E-2</v>
      </c>
      <c r="H464" s="166">
        <v>7.0999999999999994E-2</v>
      </c>
      <c r="I464" s="175">
        <v>6.96967E-2</v>
      </c>
      <c r="J464" s="166">
        <v>7.0000000000000007E-2</v>
      </c>
      <c r="K464" s="256">
        <v>2353600</v>
      </c>
      <c r="L464" s="256">
        <v>900000</v>
      </c>
      <c r="M464" s="170">
        <f t="shared" si="75"/>
        <v>2.6151111111111112</v>
      </c>
    </row>
    <row r="465" spans="1:13" x14ac:dyDescent="0.2">
      <c r="A465" s="181"/>
      <c r="B465" s="181"/>
      <c r="C465" s="181"/>
      <c r="D465" s="172" t="s">
        <v>142</v>
      </c>
      <c r="E465" s="158">
        <v>54772</v>
      </c>
      <c r="F465" s="166">
        <v>6.8750000000000006E-2</v>
      </c>
      <c r="G465" s="166">
        <v>6.9400000000000003E-2</v>
      </c>
      <c r="H465" s="166">
        <v>7.1300000000000002E-2</v>
      </c>
      <c r="I465" s="175">
        <v>6.9979799999999995E-2</v>
      </c>
      <c r="J465" s="175">
        <v>7.0199999999999999E-2</v>
      </c>
      <c r="K465" s="256">
        <v>3580600</v>
      </c>
      <c r="L465" s="256">
        <v>400000</v>
      </c>
      <c r="M465" s="170">
        <f t="shared" si="75"/>
        <v>8.9514999999999993</v>
      </c>
    </row>
    <row r="466" spans="1:13" x14ac:dyDescent="0.2">
      <c r="A466" s="315" t="s">
        <v>121</v>
      </c>
      <c r="B466" s="316"/>
      <c r="C466" s="316"/>
      <c r="D466" s="316"/>
      <c r="E466" s="316"/>
      <c r="F466" s="316"/>
      <c r="G466" s="316"/>
      <c r="H466" s="316"/>
      <c r="I466" s="316"/>
      <c r="J466" s="317"/>
      <c r="K466" s="255">
        <f>SUM(K459:K465)</f>
        <v>16265200</v>
      </c>
      <c r="L466" s="255">
        <f>SUM(L459:L465)</f>
        <v>10200000</v>
      </c>
      <c r="M466" s="165"/>
    </row>
    <row r="467" spans="1:13" ht="12" customHeight="1" outlineLevel="1" x14ac:dyDescent="0.2">
      <c r="A467" s="198">
        <v>45608</v>
      </c>
      <c r="B467" s="215">
        <v>45610</v>
      </c>
      <c r="C467" s="199" t="s">
        <v>136</v>
      </c>
      <c r="D467" s="184" t="s">
        <v>180</v>
      </c>
      <c r="E467" s="185">
        <v>45701</v>
      </c>
      <c r="F467" s="186" t="s">
        <v>128</v>
      </c>
      <c r="G467" s="202">
        <v>0</v>
      </c>
      <c r="H467" s="202">
        <v>0</v>
      </c>
      <c r="I467" s="194" t="s">
        <v>130</v>
      </c>
      <c r="J467" s="194" t="s">
        <v>130</v>
      </c>
      <c r="K467" s="216">
        <v>2000000</v>
      </c>
      <c r="L467" s="216">
        <v>0</v>
      </c>
      <c r="M467" s="188">
        <f t="shared" ref="M467:M474" si="76">IF(L467=0,0,K467/L467)</f>
        <v>0</v>
      </c>
    </row>
    <row r="468" spans="1:13" ht="12" customHeight="1" outlineLevel="1" x14ac:dyDescent="0.2">
      <c r="A468" s="198"/>
      <c r="B468" s="183"/>
      <c r="C468" s="199"/>
      <c r="D468" s="184" t="s">
        <v>281</v>
      </c>
      <c r="E468" s="185">
        <v>45974</v>
      </c>
      <c r="F468" s="186" t="s">
        <v>128</v>
      </c>
      <c r="G468" s="186">
        <v>0</v>
      </c>
      <c r="H468" s="287">
        <v>0</v>
      </c>
      <c r="I468" s="288" t="s">
        <v>130</v>
      </c>
      <c r="J468" s="202" t="s">
        <v>130</v>
      </c>
      <c r="K468" s="289">
        <v>3350000</v>
      </c>
      <c r="L468" s="216">
        <v>0</v>
      </c>
      <c r="M468" s="188">
        <f t="shared" si="76"/>
        <v>0</v>
      </c>
    </row>
    <row r="469" spans="1:13" ht="12.75" customHeight="1" outlineLevel="1" x14ac:dyDescent="0.2">
      <c r="A469" s="198"/>
      <c r="B469" s="185"/>
      <c r="C469" s="199"/>
      <c r="D469" s="184" t="s">
        <v>251</v>
      </c>
      <c r="E469" s="185">
        <v>47679</v>
      </c>
      <c r="F469" s="186">
        <v>6.5000000000000002E-2</v>
      </c>
      <c r="G469" s="186">
        <v>6.6000000000000003E-2</v>
      </c>
      <c r="H469" s="186">
        <v>6.8000000000000005E-2</v>
      </c>
      <c r="I469" s="288">
        <v>6.6399399999999997E-2</v>
      </c>
      <c r="J469" s="187">
        <v>6.6500000000000004E-2</v>
      </c>
      <c r="K469" s="216">
        <v>8613500</v>
      </c>
      <c r="L469" s="216">
        <v>3500000</v>
      </c>
      <c r="M469" s="188">
        <f t="shared" si="76"/>
        <v>2.4609999999999999</v>
      </c>
    </row>
    <row r="470" spans="1:13" ht="12.75" customHeight="1" outlineLevel="1" x14ac:dyDescent="0.2">
      <c r="A470" s="191"/>
      <c r="B470" s="189"/>
      <c r="C470" s="192"/>
      <c r="D470" s="184" t="s">
        <v>249</v>
      </c>
      <c r="E470" s="185">
        <v>49505</v>
      </c>
      <c r="F470" s="186">
        <v>6.7500000000000004E-2</v>
      </c>
      <c r="G470" s="186">
        <v>6.8500000000000005E-2</v>
      </c>
      <c r="H470" s="186">
        <v>7.0499999999999993E-2</v>
      </c>
      <c r="I470" s="187">
        <v>6.9295499999999996E-2</v>
      </c>
      <c r="J470" s="197">
        <v>6.9900000000000004E-2</v>
      </c>
      <c r="K470" s="216">
        <v>11457000</v>
      </c>
      <c r="L470" s="216">
        <v>10200000</v>
      </c>
      <c r="M470" s="188">
        <f t="shared" si="76"/>
        <v>1.1232352941176471</v>
      </c>
    </row>
    <row r="471" spans="1:13" ht="12.75" customHeight="1" outlineLevel="1" x14ac:dyDescent="0.2">
      <c r="A471" s="191"/>
      <c r="B471" s="189"/>
      <c r="C471" s="192"/>
      <c r="D471" s="184" t="s">
        <v>138</v>
      </c>
      <c r="E471" s="185">
        <v>50571</v>
      </c>
      <c r="F471" s="186">
        <v>7.1249999999999994E-2</v>
      </c>
      <c r="G471" s="186">
        <v>6.8699999999999997E-2</v>
      </c>
      <c r="H471" s="186">
        <v>7.0999999999999994E-2</v>
      </c>
      <c r="I471" s="196">
        <v>6.9592500000000002E-2</v>
      </c>
      <c r="J471" s="197">
        <v>7.0000000000000007E-2</v>
      </c>
      <c r="K471" s="216">
        <v>3034000</v>
      </c>
      <c r="L471" s="216">
        <v>2050000</v>
      </c>
      <c r="M471" s="188">
        <f t="shared" si="76"/>
        <v>1.48</v>
      </c>
    </row>
    <row r="472" spans="1:13" ht="12.75" customHeight="1" outlineLevel="1" x14ac:dyDescent="0.2">
      <c r="A472" s="191"/>
      <c r="B472" s="189"/>
      <c r="C472" s="192"/>
      <c r="D472" s="184" t="s">
        <v>137</v>
      </c>
      <c r="E472" s="185">
        <v>52397</v>
      </c>
      <c r="F472" s="186">
        <v>7.1249999999999994E-2</v>
      </c>
      <c r="G472" s="186">
        <v>6.9500000000000006E-2</v>
      </c>
      <c r="H472" s="186">
        <v>7.0999999999999994E-2</v>
      </c>
      <c r="I472" s="187">
        <v>7.0122199999999996E-2</v>
      </c>
      <c r="J472" s="195">
        <v>7.0499999999999993E-2</v>
      </c>
      <c r="K472" s="220">
        <v>4304800</v>
      </c>
      <c r="L472" s="220">
        <v>4200000</v>
      </c>
      <c r="M472" s="188">
        <f t="shared" si="76"/>
        <v>1.0249523809523811</v>
      </c>
    </row>
    <row r="473" spans="1:13" ht="12.75" customHeight="1" outlineLevel="1" x14ac:dyDescent="0.2">
      <c r="A473" s="191"/>
      <c r="B473" s="189"/>
      <c r="C473" s="192"/>
      <c r="D473" s="184" t="s">
        <v>146</v>
      </c>
      <c r="E473" s="185">
        <v>56445</v>
      </c>
      <c r="F473" s="186">
        <v>6.8750000000000006E-2</v>
      </c>
      <c r="G473" s="186">
        <v>6.9500000000000006E-2</v>
      </c>
      <c r="H473" s="186">
        <v>7.0999999999999994E-2</v>
      </c>
      <c r="I473" s="195">
        <v>6.9925200000000007E-2</v>
      </c>
      <c r="J473" s="195">
        <v>7.0499999999999993E-2</v>
      </c>
      <c r="K473" s="220">
        <v>2215800</v>
      </c>
      <c r="L473" s="220">
        <v>1950000</v>
      </c>
      <c r="M473" s="188">
        <f t="shared" si="76"/>
        <v>1.1363076923076922</v>
      </c>
    </row>
    <row r="474" spans="1:13" ht="12.75" customHeight="1" outlineLevel="1" x14ac:dyDescent="0.2">
      <c r="A474" s="191"/>
      <c r="B474" s="200"/>
      <c r="C474" s="192"/>
      <c r="D474" s="184" t="s">
        <v>257</v>
      </c>
      <c r="E474" s="185">
        <v>60098</v>
      </c>
      <c r="F474" s="186">
        <v>6.8750000000000006E-2</v>
      </c>
      <c r="G474" s="186">
        <v>6.9500000000000006E-2</v>
      </c>
      <c r="H474" s="186">
        <v>7.1900000000000006E-2</v>
      </c>
      <c r="I474" s="197">
        <v>7.0051299999999997E-2</v>
      </c>
      <c r="J474" s="196">
        <v>7.0499999999999993E-2</v>
      </c>
      <c r="K474" s="220">
        <v>2410100</v>
      </c>
      <c r="L474" s="220">
        <v>100000</v>
      </c>
      <c r="M474" s="201">
        <f t="shared" si="76"/>
        <v>24.100999999999999</v>
      </c>
    </row>
    <row r="475" spans="1:13" s="1" customFormat="1" ht="12.75" customHeight="1" outlineLevel="1" x14ac:dyDescent="0.2">
      <c r="A475" s="321" t="s">
        <v>121</v>
      </c>
      <c r="B475" s="322"/>
      <c r="C475" s="323"/>
      <c r="D475" s="323"/>
      <c r="E475" s="323"/>
      <c r="F475" s="323"/>
      <c r="G475" s="323"/>
      <c r="H475" s="323"/>
      <c r="I475" s="323"/>
      <c r="J475" s="324"/>
      <c r="K475" s="190">
        <f>SUM(K467:K474)</f>
        <v>37385200</v>
      </c>
      <c r="L475" s="190">
        <f>SUM(L467:L474)</f>
        <v>22000000</v>
      </c>
      <c r="M475" s="193"/>
    </row>
    <row r="476" spans="1:13" s="1" customFormat="1" ht="12.75" customHeight="1" outlineLevel="1" x14ac:dyDescent="0.2">
      <c r="A476" s="164">
        <v>45615</v>
      </c>
      <c r="B476" s="164">
        <v>45617</v>
      </c>
      <c r="C476" s="160" t="s">
        <v>136</v>
      </c>
      <c r="D476" s="172" t="s">
        <v>245</v>
      </c>
      <c r="E476" s="158">
        <v>45806</v>
      </c>
      <c r="F476" s="166" t="s">
        <v>128</v>
      </c>
      <c r="G476" s="258">
        <v>6.2E-2</v>
      </c>
      <c r="H476" s="166">
        <v>6.9800000000000001E-2</v>
      </c>
      <c r="I476" s="166">
        <v>6.2E-2</v>
      </c>
      <c r="J476" s="166">
        <v>6.2E-2</v>
      </c>
      <c r="K476" s="256">
        <v>2125000</v>
      </c>
      <c r="L476" s="257">
        <v>2000000</v>
      </c>
      <c r="M476" s="170">
        <f>IF(L476=0,0,K476/L476)</f>
        <v>1.0625</v>
      </c>
    </row>
    <row r="477" spans="1:13" s="1" customFormat="1" ht="12.75" customHeight="1" outlineLevel="1" x14ac:dyDescent="0.2">
      <c r="A477" s="164"/>
      <c r="B477" s="164"/>
      <c r="C477" s="160"/>
      <c r="D477" s="172" t="s">
        <v>280</v>
      </c>
      <c r="E477" s="158">
        <v>45873</v>
      </c>
      <c r="F477" s="166" t="s">
        <v>128</v>
      </c>
      <c r="G477" s="258">
        <v>6.3E-2</v>
      </c>
      <c r="H477" s="166">
        <v>7.0000000000000007E-2</v>
      </c>
      <c r="I477" s="166">
        <v>6.3077300000000003E-2</v>
      </c>
      <c r="J477" s="166">
        <v>6.3100000000000003E-2</v>
      </c>
      <c r="K477" s="256">
        <v>3241000</v>
      </c>
      <c r="L477" s="257">
        <v>3150000</v>
      </c>
      <c r="M477" s="170">
        <f>IF(L477=0,0,K477/L477)</f>
        <v>1.028888888888889</v>
      </c>
    </row>
    <row r="478" spans="1:13" s="1" customFormat="1" ht="12.75" customHeight="1" outlineLevel="1" x14ac:dyDescent="0.2">
      <c r="A478" s="164"/>
      <c r="B478" s="158"/>
      <c r="C478" s="160"/>
      <c r="D478" s="172" t="s">
        <v>150</v>
      </c>
      <c r="E478" s="158">
        <v>46218</v>
      </c>
      <c r="F478" s="166">
        <v>4.8750000000000002E-2</v>
      </c>
      <c r="G478" s="166">
        <v>6.6500000000000004E-2</v>
      </c>
      <c r="H478" s="166">
        <v>7.0000000000000007E-2</v>
      </c>
      <c r="I478" s="175">
        <v>6.7297700000000002E-2</v>
      </c>
      <c r="J478" s="175">
        <v>6.7699999999999996E-2</v>
      </c>
      <c r="K478" s="256">
        <v>3625000</v>
      </c>
      <c r="L478" s="256">
        <v>3000000</v>
      </c>
      <c r="M478" s="170">
        <f t="shared" ref="M478:M482" si="77">IF(L478=0,0,K478/L478)</f>
        <v>1.2083333333333333</v>
      </c>
    </row>
    <row r="479" spans="1:13" s="1" customFormat="1" ht="12.75" customHeight="1" outlineLevel="1" x14ac:dyDescent="0.2">
      <c r="A479" s="156"/>
      <c r="B479" s="156"/>
      <c r="C479" s="156"/>
      <c r="D479" s="2" t="s">
        <v>151</v>
      </c>
      <c r="E479" s="158">
        <v>46949</v>
      </c>
      <c r="F479" s="177">
        <v>5.8749999999999997E-2</v>
      </c>
      <c r="G479" s="166">
        <v>6.6799999999999998E-2</v>
      </c>
      <c r="H479" s="166">
        <v>6.7900000000000002E-2</v>
      </c>
      <c r="I479" s="175">
        <v>6.6992899999999994E-2</v>
      </c>
      <c r="J479" s="175">
        <v>6.7100000000000007E-2</v>
      </c>
      <c r="K479" s="256">
        <v>1071500</v>
      </c>
      <c r="L479" s="256">
        <v>200000</v>
      </c>
      <c r="M479" s="170">
        <f t="shared" si="77"/>
        <v>5.3574999999999999</v>
      </c>
    </row>
    <row r="480" spans="1:13" s="1" customFormat="1" ht="12.75" customHeight="1" outlineLevel="1" x14ac:dyDescent="0.2">
      <c r="A480" s="181"/>
      <c r="B480" s="156"/>
      <c r="C480" s="182"/>
      <c r="D480" s="172" t="s">
        <v>263</v>
      </c>
      <c r="E480" s="158">
        <v>49018</v>
      </c>
      <c r="F480" s="166">
        <v>6.3750000000000001E-2</v>
      </c>
      <c r="G480" s="166">
        <v>6.7199999999999996E-2</v>
      </c>
      <c r="H480" s="166">
        <v>6.9800000000000001E-2</v>
      </c>
      <c r="I480" s="175">
        <v>0</v>
      </c>
      <c r="J480" s="175">
        <v>0</v>
      </c>
      <c r="K480" s="256">
        <v>285000</v>
      </c>
      <c r="L480" s="256">
        <v>0</v>
      </c>
      <c r="M480" s="170">
        <f t="shared" si="77"/>
        <v>0</v>
      </c>
    </row>
    <row r="481" spans="1:13" s="1" customFormat="1" ht="12.75" customHeight="1" outlineLevel="1" x14ac:dyDescent="0.2">
      <c r="A481" s="181"/>
      <c r="B481" s="156"/>
      <c r="C481" s="182"/>
      <c r="D481" s="172" t="s">
        <v>53</v>
      </c>
      <c r="E481" s="158">
        <v>50086</v>
      </c>
      <c r="F481" s="166">
        <v>6.0999999999999999E-2</v>
      </c>
      <c r="G481" s="166">
        <v>6.8199999999999997E-2</v>
      </c>
      <c r="H481" s="166">
        <v>7.0000000000000007E-2</v>
      </c>
      <c r="I481" s="175">
        <v>6.9258E-2</v>
      </c>
      <c r="J481" s="175">
        <v>6.9500000000000006E-2</v>
      </c>
      <c r="K481" s="256">
        <v>172000</v>
      </c>
      <c r="L481" s="256">
        <v>100000</v>
      </c>
      <c r="M481" s="170">
        <f t="shared" si="77"/>
        <v>1.72</v>
      </c>
    </row>
    <row r="482" spans="1:13" s="1" customFormat="1" ht="12.75" customHeight="1" outlineLevel="1" x14ac:dyDescent="0.2">
      <c r="A482" s="181"/>
      <c r="B482" s="156"/>
      <c r="C482" s="182"/>
      <c r="D482" s="172" t="s">
        <v>142</v>
      </c>
      <c r="E482" s="158">
        <v>54772</v>
      </c>
      <c r="F482" s="166">
        <v>6.8750000000000006E-2</v>
      </c>
      <c r="G482" s="166">
        <v>7.0000000000000007E-2</v>
      </c>
      <c r="H482" s="166">
        <v>7.1999999999999995E-2</v>
      </c>
      <c r="I482" s="175">
        <v>7.0466000000000001E-2</v>
      </c>
      <c r="J482" s="175">
        <v>7.0699999999999999E-2</v>
      </c>
      <c r="K482" s="256">
        <v>3334900</v>
      </c>
      <c r="L482" s="256">
        <v>550000</v>
      </c>
      <c r="M482" s="170">
        <f t="shared" si="77"/>
        <v>6.0634545454545457</v>
      </c>
    </row>
    <row r="483" spans="1:13" s="1" customFormat="1" ht="12.75" customHeight="1" outlineLevel="1" x14ac:dyDescent="0.2">
      <c r="A483" s="315" t="s">
        <v>121</v>
      </c>
      <c r="B483" s="316"/>
      <c r="C483" s="316"/>
      <c r="D483" s="316"/>
      <c r="E483" s="316"/>
      <c r="F483" s="316"/>
      <c r="G483" s="316"/>
      <c r="H483" s="316"/>
      <c r="I483" s="316"/>
      <c r="J483" s="317"/>
      <c r="K483" s="255">
        <f>SUM(K476:K482)</f>
        <v>13854400</v>
      </c>
      <c r="L483" s="255">
        <f>SUM(L476:L482)</f>
        <v>9000000</v>
      </c>
      <c r="M483" s="165"/>
    </row>
    <row r="484" spans="1:13" s="1" customFormat="1" ht="12.75" customHeight="1" outlineLevel="1" x14ac:dyDescent="0.2">
      <c r="A484" s="164">
        <v>45614</v>
      </c>
      <c r="B484" s="164">
        <v>45621</v>
      </c>
      <c r="C484" s="160" t="s">
        <v>155</v>
      </c>
      <c r="D484" s="172" t="s">
        <v>282</v>
      </c>
      <c r="E484" s="158">
        <v>47628</v>
      </c>
      <c r="F484" s="166">
        <v>0.05</v>
      </c>
      <c r="G484" s="258"/>
      <c r="H484" s="166"/>
      <c r="I484" s="166">
        <v>0.05</v>
      </c>
      <c r="J484" s="166"/>
      <c r="K484" s="274" t="s">
        <v>285</v>
      </c>
      <c r="L484" s="274" t="s">
        <v>285</v>
      </c>
      <c r="M484" s="170"/>
    </row>
    <row r="485" spans="1:13" s="1" customFormat="1" ht="12.75" customHeight="1" outlineLevel="1" x14ac:dyDescent="0.2">
      <c r="A485" s="164"/>
      <c r="B485" s="164"/>
      <c r="C485" s="160"/>
      <c r="D485" s="172"/>
      <c r="E485" s="158"/>
      <c r="F485" s="166"/>
      <c r="G485" s="258"/>
      <c r="H485" s="166"/>
      <c r="I485" s="166"/>
      <c r="J485" s="166"/>
      <c r="K485" s="256">
        <v>17502100</v>
      </c>
      <c r="L485" s="256">
        <v>17502100</v>
      </c>
      <c r="M485" s="170">
        <f>IF(L485=0,0,K485/L485)</f>
        <v>1</v>
      </c>
    </row>
    <row r="486" spans="1:13" s="1" customFormat="1" ht="12.75" customHeight="1" outlineLevel="1" x14ac:dyDescent="0.2">
      <c r="A486" s="164"/>
      <c r="B486" s="164"/>
      <c r="C486" s="160"/>
      <c r="D486" s="172" t="s">
        <v>283</v>
      </c>
      <c r="E486" s="158">
        <v>49273</v>
      </c>
      <c r="F486" s="166">
        <v>5.2499999999999998E-2</v>
      </c>
      <c r="G486" s="258"/>
      <c r="H486" s="166"/>
      <c r="I486" s="166">
        <v>5.2499999999999998E-2</v>
      </c>
      <c r="J486" s="166"/>
      <c r="K486" s="256" t="s">
        <v>160</v>
      </c>
      <c r="L486" s="256" t="s">
        <v>160</v>
      </c>
      <c r="M486" s="170"/>
    </row>
    <row r="487" spans="1:13" s="1" customFormat="1" ht="12.75" customHeight="1" outlineLevel="1" x14ac:dyDescent="0.2">
      <c r="A487" s="164"/>
      <c r="B487" s="164"/>
      <c r="C487" s="160"/>
      <c r="D487" s="172"/>
      <c r="E487" s="158"/>
      <c r="F487" s="166"/>
      <c r="G487" s="258"/>
      <c r="H487" s="166"/>
      <c r="I487" s="166"/>
      <c r="J487" s="166"/>
      <c r="K487" s="256">
        <v>14319900</v>
      </c>
      <c r="L487" s="256">
        <v>14319900</v>
      </c>
      <c r="M487" s="170">
        <f>IF(L487=0,0,K487/L487)</f>
        <v>1</v>
      </c>
    </row>
    <row r="488" spans="1:13" s="1" customFormat="1" ht="12.75" customHeight="1" outlineLevel="1" x14ac:dyDescent="0.2">
      <c r="A488" s="164"/>
      <c r="B488" s="164"/>
      <c r="C488" s="160"/>
      <c r="D488" s="172" t="s">
        <v>284</v>
      </c>
      <c r="E488" s="158">
        <v>56578</v>
      </c>
      <c r="F488" s="166">
        <v>5.6500000000000002E-2</v>
      </c>
      <c r="G488" s="258"/>
      <c r="H488" s="166"/>
      <c r="I488" s="166">
        <v>5.6500000000000002E-2</v>
      </c>
      <c r="J488" s="166"/>
      <c r="K488" s="256" t="s">
        <v>233</v>
      </c>
      <c r="L488" s="256" t="s">
        <v>233</v>
      </c>
      <c r="M488" s="170"/>
    </row>
    <row r="489" spans="1:13" s="1" customFormat="1" ht="12" customHeight="1" outlineLevel="1" x14ac:dyDescent="0.2">
      <c r="A489" s="164"/>
      <c r="B489" s="164"/>
      <c r="C489" s="160"/>
      <c r="D489" s="172"/>
      <c r="E489" s="158"/>
      <c r="F489" s="166"/>
      <c r="G489" s="258"/>
      <c r="H489" s="166"/>
      <c r="I489" s="166"/>
      <c r="J489" s="166"/>
      <c r="K489" s="256">
        <v>11933250</v>
      </c>
      <c r="L489" s="256">
        <v>11933250</v>
      </c>
      <c r="M489" s="170">
        <f>IF(L489=0,0,K489/L489)</f>
        <v>1</v>
      </c>
    </row>
    <row r="490" spans="1:13" s="1" customFormat="1" ht="12.75" customHeight="1" outlineLevel="1" x14ac:dyDescent="0.2">
      <c r="A490" s="315" t="s">
        <v>121</v>
      </c>
      <c r="B490" s="316"/>
      <c r="C490" s="316"/>
      <c r="D490" s="316"/>
      <c r="E490" s="316"/>
      <c r="F490" s="316"/>
      <c r="G490" s="316"/>
      <c r="H490" s="316"/>
      <c r="I490" s="316"/>
      <c r="J490" s="317"/>
      <c r="K490" s="255">
        <f>K485+K487+K489</f>
        <v>43755250</v>
      </c>
      <c r="L490" s="255">
        <f>L485+L487+L489</f>
        <v>43755250</v>
      </c>
      <c r="M490" s="165"/>
    </row>
    <row r="491" spans="1:13" ht="12" customHeight="1" outlineLevel="1" x14ac:dyDescent="0.2">
      <c r="A491" s="198">
        <v>45622</v>
      </c>
      <c r="B491" s="215">
        <v>45625</v>
      </c>
      <c r="C491" s="199" t="s">
        <v>136</v>
      </c>
      <c r="D491" s="184" t="s">
        <v>287</v>
      </c>
      <c r="E491" s="185">
        <v>45714</v>
      </c>
      <c r="F491" s="186" t="s">
        <v>128</v>
      </c>
      <c r="G491" s="202">
        <v>6.9500000000000006E-2</v>
      </c>
      <c r="H491" s="202">
        <v>6.9500000000000006E-2</v>
      </c>
      <c r="I491" s="194" t="s">
        <v>130</v>
      </c>
      <c r="J491" s="194" t="s">
        <v>130</v>
      </c>
      <c r="K491" s="216">
        <v>2010000</v>
      </c>
      <c r="L491" s="216">
        <v>0</v>
      </c>
      <c r="M491" s="188">
        <f t="shared" ref="M491:M498" si="78">IF(L491=0,0,K491/L491)</f>
        <v>0</v>
      </c>
    </row>
    <row r="492" spans="1:13" ht="12" customHeight="1" outlineLevel="1" x14ac:dyDescent="0.2">
      <c r="A492" s="198"/>
      <c r="B492" s="183"/>
      <c r="C492" s="199"/>
      <c r="D492" s="184" t="s">
        <v>288</v>
      </c>
      <c r="E492" s="185">
        <v>45988</v>
      </c>
      <c r="F492" s="186" t="s">
        <v>128</v>
      </c>
      <c r="G492" s="186">
        <v>6.2E-2</v>
      </c>
      <c r="H492" s="287">
        <v>7.1499999999999994E-2</v>
      </c>
      <c r="I492" s="288">
        <v>6.2460000000000002E-2</v>
      </c>
      <c r="J492" s="202">
        <v>6.25E-2</v>
      </c>
      <c r="K492" s="289">
        <v>3414000</v>
      </c>
      <c r="L492" s="289">
        <v>3150000</v>
      </c>
      <c r="M492" s="188">
        <f t="shared" si="78"/>
        <v>1.0838095238095238</v>
      </c>
    </row>
    <row r="493" spans="1:13" ht="12.75" customHeight="1" outlineLevel="1" x14ac:dyDescent="0.2">
      <c r="A493" s="198"/>
      <c r="B493" s="185"/>
      <c r="C493" s="199"/>
      <c r="D493" s="184" t="s">
        <v>251</v>
      </c>
      <c r="E493" s="185">
        <v>47679</v>
      </c>
      <c r="F493" s="186">
        <v>6.5000000000000002E-2</v>
      </c>
      <c r="G493" s="186">
        <v>6.7699999999999996E-2</v>
      </c>
      <c r="H493" s="186">
        <v>6.9800000000000001E-2</v>
      </c>
      <c r="I493" s="288">
        <v>6.8297899999999995E-2</v>
      </c>
      <c r="J493" s="187">
        <v>6.8699999999999997E-2</v>
      </c>
      <c r="K493" s="216">
        <v>3572800</v>
      </c>
      <c r="L493" s="216">
        <v>2150000</v>
      </c>
      <c r="M493" s="188">
        <f t="shared" si="78"/>
        <v>1.6617674418604651</v>
      </c>
    </row>
    <row r="494" spans="1:13" ht="12.75" customHeight="1" outlineLevel="1" x14ac:dyDescent="0.2">
      <c r="A494" s="191"/>
      <c r="B494" s="189"/>
      <c r="C494" s="192"/>
      <c r="D494" s="184" t="s">
        <v>249</v>
      </c>
      <c r="E494" s="185">
        <v>49505</v>
      </c>
      <c r="F494" s="186">
        <v>6.7500000000000004E-2</v>
      </c>
      <c r="G494" s="186">
        <v>6.9800000000000001E-2</v>
      </c>
      <c r="H494" s="186">
        <v>7.1300000000000002E-2</v>
      </c>
      <c r="I494" s="187">
        <v>7.0298700000000006E-2</v>
      </c>
      <c r="J494" s="197">
        <v>7.0699999999999999E-2</v>
      </c>
      <c r="K494" s="216">
        <v>8973700</v>
      </c>
      <c r="L494" s="216">
        <v>7050000</v>
      </c>
      <c r="M494" s="188">
        <f t="shared" si="78"/>
        <v>1.2728652482269505</v>
      </c>
    </row>
    <row r="495" spans="1:13" ht="12.75" customHeight="1" outlineLevel="1" x14ac:dyDescent="0.2">
      <c r="A495" s="191"/>
      <c r="B495" s="189"/>
      <c r="C495" s="192"/>
      <c r="D495" s="184" t="s">
        <v>138</v>
      </c>
      <c r="E495" s="185">
        <v>50571</v>
      </c>
      <c r="F495" s="186">
        <v>7.1249999999999994E-2</v>
      </c>
      <c r="G495" s="186">
        <v>7.0000000000000007E-2</v>
      </c>
      <c r="H495" s="186">
        <v>7.2099999999999997E-2</v>
      </c>
      <c r="I495" s="196">
        <v>7.05929E-2</v>
      </c>
      <c r="J495" s="197">
        <v>7.0999999999999994E-2</v>
      </c>
      <c r="K495" s="216">
        <v>3445900</v>
      </c>
      <c r="L495" s="216">
        <v>2400000</v>
      </c>
      <c r="M495" s="188">
        <f t="shared" si="78"/>
        <v>1.4357916666666666</v>
      </c>
    </row>
    <row r="496" spans="1:13" ht="12.75" customHeight="1" outlineLevel="1" x14ac:dyDescent="0.2">
      <c r="A496" s="191"/>
      <c r="B496" s="189"/>
      <c r="C496" s="192"/>
      <c r="D496" s="184" t="s">
        <v>137</v>
      </c>
      <c r="E496" s="185">
        <v>52397</v>
      </c>
      <c r="F496" s="186">
        <v>7.1249999999999994E-2</v>
      </c>
      <c r="G496" s="186">
        <v>7.0400000000000004E-2</v>
      </c>
      <c r="H496" s="186">
        <v>7.1999999999999995E-2</v>
      </c>
      <c r="I496" s="187">
        <v>7.0898799999999998E-2</v>
      </c>
      <c r="J496" s="195">
        <v>7.0999999999999994E-2</v>
      </c>
      <c r="K496" s="220">
        <v>3754100</v>
      </c>
      <c r="L496" s="220">
        <v>1900000</v>
      </c>
      <c r="M496" s="188">
        <f t="shared" si="78"/>
        <v>1.9758421052631578</v>
      </c>
    </row>
    <row r="497" spans="1:13" ht="12.75" customHeight="1" outlineLevel="1" x14ac:dyDescent="0.2">
      <c r="A497" s="191"/>
      <c r="B497" s="189"/>
      <c r="C497" s="192"/>
      <c r="D497" s="184" t="s">
        <v>146</v>
      </c>
      <c r="E497" s="185">
        <v>56445</v>
      </c>
      <c r="F497" s="186">
        <v>6.8750000000000006E-2</v>
      </c>
      <c r="G497" s="186">
        <v>7.0000000000000007E-2</v>
      </c>
      <c r="H497" s="186">
        <v>7.1999999999999995E-2</v>
      </c>
      <c r="I497" s="195">
        <v>7.0877300000000004E-2</v>
      </c>
      <c r="J497" s="195">
        <v>7.1099999999999997E-2</v>
      </c>
      <c r="K497" s="220">
        <v>1710700</v>
      </c>
      <c r="L497" s="220">
        <v>1450000</v>
      </c>
      <c r="M497" s="188">
        <f t="shared" si="78"/>
        <v>1.1797931034482758</v>
      </c>
    </row>
    <row r="498" spans="1:13" ht="12.75" customHeight="1" outlineLevel="1" x14ac:dyDescent="0.2">
      <c r="A498" s="191"/>
      <c r="B498" s="200"/>
      <c r="C498" s="192"/>
      <c r="D498" s="184" t="s">
        <v>257</v>
      </c>
      <c r="E498" s="185">
        <v>60098</v>
      </c>
      <c r="F498" s="186">
        <v>6.8750000000000006E-2</v>
      </c>
      <c r="G498" s="186">
        <v>7.0300000000000001E-2</v>
      </c>
      <c r="H498" s="186">
        <v>7.1499999999999994E-2</v>
      </c>
      <c r="I498" s="197">
        <v>7.1084999999999995E-2</v>
      </c>
      <c r="J498" s="196">
        <v>7.1199999999999999E-2</v>
      </c>
      <c r="K498" s="220">
        <v>2224100</v>
      </c>
      <c r="L498" s="220">
        <v>2200000</v>
      </c>
      <c r="M498" s="201">
        <f t="shared" si="78"/>
        <v>1.0109545454545454</v>
      </c>
    </row>
    <row r="499" spans="1:13" s="1" customFormat="1" ht="12.75" customHeight="1" outlineLevel="1" x14ac:dyDescent="0.2">
      <c r="A499" s="321" t="s">
        <v>121</v>
      </c>
      <c r="B499" s="322"/>
      <c r="C499" s="323"/>
      <c r="D499" s="323"/>
      <c r="E499" s="323"/>
      <c r="F499" s="323"/>
      <c r="G499" s="323"/>
      <c r="H499" s="323"/>
      <c r="I499" s="323"/>
      <c r="J499" s="324"/>
      <c r="K499" s="190">
        <f>SUM(K491:K498)</f>
        <v>29105300</v>
      </c>
      <c r="L499" s="190">
        <f>SUM(L491:L498)</f>
        <v>20300000</v>
      </c>
      <c r="M499" s="193"/>
    </row>
    <row r="500" spans="1:13" x14ac:dyDescent="0.2">
      <c r="A500" s="318" t="s">
        <v>279</v>
      </c>
      <c r="B500" s="319"/>
      <c r="C500" s="319"/>
      <c r="D500" s="319"/>
      <c r="E500" s="319"/>
      <c r="F500" s="319"/>
      <c r="G500" s="319"/>
      <c r="H500" s="319"/>
      <c r="I500" s="319"/>
      <c r="J500" s="320"/>
      <c r="K500" s="173">
        <f>K466+K475+K483+K490+K499</f>
        <v>140365350</v>
      </c>
      <c r="L500" s="173">
        <f>L466+L475+L483+L490+L499</f>
        <v>105255250</v>
      </c>
      <c r="M500" s="105"/>
    </row>
    <row r="501" spans="1:13" x14ac:dyDescent="0.2">
      <c r="A501" s="318" t="s">
        <v>286</v>
      </c>
      <c r="B501" s="319"/>
      <c r="C501" s="319"/>
      <c r="D501" s="319"/>
      <c r="E501" s="319"/>
      <c r="F501" s="319"/>
      <c r="G501" s="319"/>
      <c r="H501" s="319"/>
      <c r="I501" s="319"/>
      <c r="J501" s="320"/>
      <c r="K501" s="173">
        <f>K458+K500</f>
        <v>2055317624</v>
      </c>
      <c r="L501" s="173">
        <f>L458+L500</f>
        <v>1080075824</v>
      </c>
      <c r="M501" s="165"/>
    </row>
  </sheetData>
  <mergeCells count="96">
    <mergeCell ref="A499:J499"/>
    <mergeCell ref="A490:J490"/>
    <mergeCell ref="A483:J483"/>
    <mergeCell ref="A475:J475"/>
    <mergeCell ref="A346:J346"/>
    <mergeCell ref="A418:J418"/>
    <mergeCell ref="A457:J457"/>
    <mergeCell ref="A458:J458"/>
    <mergeCell ref="A381:J381"/>
    <mergeCell ref="A400:J400"/>
    <mergeCell ref="A408:J408"/>
    <mergeCell ref="A409:J409"/>
    <mergeCell ref="A410:J410"/>
    <mergeCell ref="A397:J397"/>
    <mergeCell ref="A420:J420"/>
    <mergeCell ref="A428:J428"/>
    <mergeCell ref="A436:J436"/>
    <mergeCell ref="A444:J444"/>
    <mergeCell ref="A456:J456"/>
    <mergeCell ref="A447:J447"/>
    <mergeCell ref="A365:J365"/>
    <mergeCell ref="A389:J389"/>
    <mergeCell ref="A374:J374"/>
    <mergeCell ref="A137:J137"/>
    <mergeCell ref="A246:J246"/>
    <mergeCell ref="A238:J238"/>
    <mergeCell ref="A153:J153"/>
    <mergeCell ref="A145:J145"/>
    <mergeCell ref="A154:J154"/>
    <mergeCell ref="A155:J155"/>
    <mergeCell ref="A188:J188"/>
    <mergeCell ref="A227:J227"/>
    <mergeCell ref="A158:J158"/>
    <mergeCell ref="A166:J166"/>
    <mergeCell ref="A174:J174"/>
    <mergeCell ref="A176:J176"/>
    <mergeCell ref="A236:J236"/>
    <mergeCell ref="A257:J257"/>
    <mergeCell ref="A219:J219"/>
    <mergeCell ref="A356:J356"/>
    <mergeCell ref="A366:J366"/>
    <mergeCell ref="A275:J275"/>
    <mergeCell ref="A273:J273"/>
    <mergeCell ref="A274:J274"/>
    <mergeCell ref="A237:J237"/>
    <mergeCell ref="A111:J111"/>
    <mergeCell ref="A108:J108"/>
    <mergeCell ref="A129:J129"/>
    <mergeCell ref="A120:J120"/>
    <mergeCell ref="A121:J121"/>
    <mergeCell ref="A119:J119"/>
    <mergeCell ref="A265:J265"/>
    <mergeCell ref="A177:J177"/>
    <mergeCell ref="A178:J178"/>
    <mergeCell ref="A196:J196"/>
    <mergeCell ref="A249:J249"/>
    <mergeCell ref="A180:J180"/>
    <mergeCell ref="A204:J204"/>
    <mergeCell ref="B30:B33"/>
    <mergeCell ref="C30:C33"/>
    <mergeCell ref="A34:J34"/>
    <mergeCell ref="A92:J92"/>
    <mergeCell ref="A100:J100"/>
    <mergeCell ref="A84:J84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29:J29"/>
    <mergeCell ref="A30:A33"/>
    <mergeCell ref="A466:J466"/>
    <mergeCell ref="A500:J500"/>
    <mergeCell ref="A501:J501"/>
    <mergeCell ref="A282:J282"/>
    <mergeCell ref="A336:J336"/>
    <mergeCell ref="A293:J293"/>
    <mergeCell ref="A290:J290"/>
    <mergeCell ref="A327:J327"/>
    <mergeCell ref="A317:J317"/>
    <mergeCell ref="A301:J301"/>
    <mergeCell ref="A309:J309"/>
    <mergeCell ref="A318:J318"/>
    <mergeCell ref="A319:J319"/>
    <mergeCell ref="A338:J338"/>
    <mergeCell ref="A364:J364"/>
    <mergeCell ref="A354:J354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5546875" defaultRowHeight="12.75" x14ac:dyDescent="0.2"/>
  <cols>
    <col min="4" max="4" width="12.7109375" bestFit="1" customWidth="1"/>
    <col min="5" max="5" width="9.7109375" bestFit="1" customWidth="1"/>
    <col min="6" max="12" width="6.28515625" bestFit="1" customWidth="1"/>
    <col min="13" max="13" width="17.42578125" bestFit="1" customWidth="1"/>
    <col min="14" max="16" width="16.42578125" bestFit="1" customWidth="1"/>
  </cols>
  <sheetData>
    <row r="3" spans="2:16" x14ac:dyDescent="0.2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A31225-87AC-4B6D-BAA8-4EADCB9379D0}">
  <ds:schemaRefs>
    <ds:schemaRef ds:uri="http://schemas.microsoft.com/office/2006/metadata/properties"/>
    <ds:schemaRef ds:uri="http://schemas.microsoft.com/office/infopath/2007/PartnerControls"/>
    <ds:schemaRef ds:uri="4618081e-053c-43f9-96b2-23a82a8ed040"/>
    <ds:schemaRef ds:uri="3cdbb211-5556-4702-af5b-9f4530d77cc2"/>
  </ds:schemaRefs>
</ds:datastoreItem>
</file>

<file path=customXml/itemProps2.xml><?xml version="1.0" encoding="utf-8"?>
<ds:datastoreItem xmlns:ds="http://schemas.openxmlformats.org/officeDocument/2006/customXml" ds:itemID="{B6B5D09F-9ADB-4BAB-A6BC-D8ED2D4D4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Advianto Maringgih</cp:lastModifiedBy>
  <cp:lastPrinted>2020-03-18T18:47:42Z</cp:lastPrinted>
  <dcterms:created xsi:type="dcterms:W3CDTF">2010-01-14T01:56:27Z</dcterms:created>
  <dcterms:modified xsi:type="dcterms:W3CDTF">2024-12-08T22:34:51Z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  <property fmtid="{D5CDD505-2E9C-101B-9397-08002B2CF9AE}" pid="3" name="MediaServiceImageTags">
    <vt:lpwstr/>
  </property>
</Properties>
</file>