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42.47.3\Files\Realisasi Penerbitan SBN\"/>
    </mc:Choice>
  </mc:AlternateContent>
  <bookViews>
    <workbookView xWindow="0" yWindow="0" windowWidth="24000" windowHeight="9735" tabRatio="715" firstSheet="1" activeTab="1"/>
  </bookViews>
  <sheets>
    <sheet name="Contoh_SBN" sheetId="5" state="hidden" r:id="rId1"/>
    <sheet name="SBN" sheetId="1" r:id="rId2"/>
  </sheets>
  <externalReferences>
    <externalReference r:id="rId3"/>
    <externalReference r:id="rId4"/>
    <externalReference r:id="rId5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Area" localSheetId="1">SBN!$A$1:$M$235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52511"/>
</workbook>
</file>

<file path=xl/calcChain.xml><?xml version="1.0" encoding="utf-8"?>
<calcChain xmlns="http://schemas.openxmlformats.org/spreadsheetml/2006/main">
  <c r="M333" i="1" l="1"/>
  <c r="L335" i="1"/>
  <c r="K335" i="1"/>
  <c r="M332" i="1"/>
  <c r="M331" i="1"/>
  <c r="M330" i="1"/>
  <c r="M327" i="1" l="1"/>
  <c r="M326" i="1"/>
  <c r="M325" i="1"/>
  <c r="M324" i="1"/>
  <c r="M323" i="1"/>
  <c r="K328" i="1"/>
  <c r="L328" i="1"/>
  <c r="L322" i="1"/>
  <c r="K322" i="1"/>
  <c r="M321" i="1"/>
  <c r="M320" i="1"/>
  <c r="M319" i="1"/>
  <c r="M318" i="1"/>
  <c r="M154" i="1"/>
  <c r="L310" i="1"/>
  <c r="K310" i="1"/>
  <c r="M309" i="1"/>
  <c r="L316" i="1"/>
  <c r="K316" i="1"/>
  <c r="M315" i="1"/>
  <c r="M314" i="1"/>
  <c r="M313" i="1"/>
  <c r="M312" i="1"/>
  <c r="M311" i="1"/>
  <c r="K308" i="1" l="1"/>
  <c r="L308" i="1"/>
  <c r="M307" i="1"/>
  <c r="M306" i="1"/>
  <c r="M305" i="1"/>
  <c r="M304" i="1"/>
  <c r="M299" i="1"/>
  <c r="L303" i="1"/>
  <c r="K303" i="1"/>
  <c r="M302" i="1"/>
  <c r="M301" i="1"/>
  <c r="M300" i="1"/>
  <c r="M298" i="1"/>
  <c r="L297" i="1" l="1"/>
  <c r="K297" i="1"/>
  <c r="L291" i="1"/>
  <c r="K291" i="1"/>
  <c r="M296" i="1"/>
  <c r="M295" i="1"/>
  <c r="M294" i="1"/>
  <c r="M293" i="1"/>
  <c r="M290" i="1"/>
  <c r="M289" i="1"/>
  <c r="M288" i="1"/>
  <c r="M287" i="1"/>
  <c r="L280" i="1" l="1"/>
  <c r="K280" i="1"/>
  <c r="M279" i="1"/>
  <c r="M284" i="1" l="1"/>
  <c r="L286" i="1"/>
  <c r="K286" i="1"/>
  <c r="M285" i="1"/>
  <c r="M283" i="1"/>
  <c r="M282" i="1"/>
  <c r="M281" i="1"/>
  <c r="M274" i="1"/>
  <c r="L278" i="1"/>
  <c r="K278" i="1"/>
  <c r="M277" i="1"/>
  <c r="M275" i="1"/>
  <c r="M273" i="1"/>
  <c r="L206" i="1"/>
  <c r="K206" i="1"/>
  <c r="M205" i="1"/>
  <c r="L112" i="1"/>
  <c r="K112" i="1"/>
  <c r="M111" i="1"/>
  <c r="K246" i="1" l="1"/>
  <c r="M243" i="1"/>
  <c r="M244" i="1"/>
  <c r="M242" i="1"/>
  <c r="M245" i="1"/>
  <c r="M256" i="1" l="1"/>
  <c r="M270" i="1"/>
  <c r="M271" i="1"/>
  <c r="L272" i="1"/>
  <c r="K272" i="1"/>
  <c r="M269" i="1"/>
  <c r="M268" i="1"/>
  <c r="M267" i="1"/>
  <c r="L266" i="1"/>
  <c r="K266" i="1"/>
  <c r="M265" i="1"/>
  <c r="L264" i="1"/>
  <c r="K264" i="1"/>
  <c r="M263" i="1"/>
  <c r="M262" i="1"/>
  <c r="M261" i="1"/>
  <c r="M259" i="1"/>
  <c r="L257" i="1"/>
  <c r="K257" i="1"/>
  <c r="M254" i="1"/>
  <c r="M253" i="1"/>
  <c r="M252" i="1"/>
  <c r="L251" i="1"/>
  <c r="K251" i="1"/>
  <c r="M250" i="1"/>
  <c r="M249" i="1"/>
  <c r="M248" i="1"/>
  <c r="M247" i="1"/>
  <c r="L241" i="1"/>
  <c r="K241" i="1"/>
  <c r="M240" i="1"/>
  <c r="M239" i="1"/>
  <c r="M238" i="1"/>
  <c r="M237" i="1"/>
  <c r="M236" i="1"/>
  <c r="K226" i="1"/>
  <c r="L235" i="1"/>
  <c r="K235" i="1"/>
  <c r="M234" i="1"/>
  <c r="L233" i="1" l="1"/>
  <c r="K233" i="1"/>
  <c r="M232" i="1"/>
  <c r="M231" i="1"/>
  <c r="M230" i="1"/>
  <c r="M229" i="1"/>
  <c r="M228" i="1"/>
  <c r="L226" i="1"/>
  <c r="M223" i="1"/>
  <c r="M224" i="1"/>
  <c r="M221" i="1"/>
  <c r="M222" i="1"/>
  <c r="L220" i="1"/>
  <c r="K220" i="1"/>
  <c r="M219" i="1"/>
  <c r="M218" i="1"/>
  <c r="M217" i="1"/>
  <c r="M216" i="1"/>
  <c r="M215" i="1"/>
  <c r="L214" i="1"/>
  <c r="K214" i="1"/>
  <c r="M213" i="1"/>
  <c r="M211" i="1"/>
  <c r="M210" i="1"/>
  <c r="L208" i="1" l="1"/>
  <c r="K208" i="1"/>
  <c r="M207" i="1"/>
  <c r="L188" i="1"/>
  <c r="L186" i="1"/>
  <c r="K188" i="1"/>
  <c r="K186" i="1"/>
  <c r="L196" i="1"/>
  <c r="L197" i="1" s="1"/>
  <c r="K196" i="1"/>
  <c r="K197" i="1" s="1"/>
  <c r="M199" i="1"/>
  <c r="M200" i="1"/>
  <c r="M202" i="1"/>
  <c r="L177" i="1"/>
  <c r="L175" i="1"/>
  <c r="K177" i="1"/>
  <c r="K175" i="1"/>
  <c r="L194" i="1"/>
  <c r="K194" i="1"/>
  <c r="M193" i="1"/>
  <c r="M192" i="1"/>
  <c r="M191" i="1"/>
  <c r="M190" i="1"/>
  <c r="L203" i="1"/>
  <c r="K203" i="1"/>
  <c r="M177" i="1" l="1"/>
  <c r="M175" i="1"/>
  <c r="K178" i="1"/>
  <c r="M186" i="1"/>
  <c r="K189" i="1"/>
  <c r="L189" i="1"/>
  <c r="M188" i="1"/>
  <c r="M196" i="1"/>
  <c r="L178" i="1"/>
  <c r="L184" i="1"/>
  <c r="K184" i="1"/>
  <c r="M183" i="1"/>
  <c r="M181" i="1"/>
  <c r="M180" i="1"/>
  <c r="M179" i="1"/>
  <c r="K173" i="1"/>
  <c r="M171" i="1"/>
  <c r="L173" i="1"/>
  <c r="M172" i="1"/>
  <c r="M170" i="1"/>
  <c r="M169" i="1"/>
  <c r="M168" i="1"/>
  <c r="L167" i="1" l="1"/>
  <c r="K167" i="1"/>
  <c r="M166" i="1"/>
  <c r="M164" i="1"/>
  <c r="M163" i="1"/>
  <c r="M162" i="1"/>
  <c r="L153" i="1" l="1"/>
  <c r="K153" i="1"/>
  <c r="M152" i="1"/>
  <c r="K160" i="1" l="1"/>
  <c r="L155" i="1"/>
  <c r="K155" i="1"/>
  <c r="L160" i="1"/>
  <c r="M159" i="1"/>
  <c r="M158" i="1"/>
  <c r="M157" i="1"/>
  <c r="M156" i="1"/>
  <c r="K151" i="1"/>
  <c r="L151" i="1" l="1"/>
  <c r="M150" i="1"/>
  <c r="M149" i="1"/>
  <c r="M148" i="1"/>
  <c r="M147" i="1"/>
  <c r="M146" i="1"/>
  <c r="L145" i="1"/>
  <c r="K145" i="1"/>
  <c r="M144" i="1"/>
  <c r="M143" i="1"/>
  <c r="M142" i="1"/>
  <c r="M141" i="1"/>
  <c r="M140" i="1"/>
  <c r="L130" i="1" l="1"/>
  <c r="K130" i="1"/>
  <c r="M129" i="1"/>
  <c r="M128" i="1"/>
  <c r="M127" i="1"/>
  <c r="M126" i="1"/>
  <c r="M125" i="1"/>
  <c r="L118" i="1"/>
  <c r="K118" i="1"/>
  <c r="M117" i="1"/>
  <c r="M116" i="1"/>
  <c r="M115" i="1"/>
  <c r="M114" i="1"/>
  <c r="M113" i="1"/>
  <c r="L139" i="1" l="1"/>
  <c r="K139" i="1"/>
  <c r="M138" i="1"/>
  <c r="M137" i="1"/>
  <c r="M136" i="1"/>
  <c r="M135" i="1"/>
  <c r="M134" i="1"/>
  <c r="L132" i="1"/>
  <c r="K132" i="1"/>
  <c r="M131" i="1"/>
  <c r="L124" i="1"/>
  <c r="K124" i="1"/>
  <c r="M123" i="1"/>
  <c r="M122" i="1"/>
  <c r="M120" i="1"/>
  <c r="M121" i="1"/>
  <c r="M119" i="1"/>
  <c r="L91" i="1"/>
  <c r="L89" i="1"/>
  <c r="K89" i="1"/>
  <c r="M108" i="1"/>
  <c r="L110" i="1"/>
  <c r="K110" i="1"/>
  <c r="M109" i="1"/>
  <c r="M107" i="1"/>
  <c r="M106" i="1"/>
  <c r="M105" i="1"/>
  <c r="O91" i="1"/>
  <c r="O93" i="1" s="1"/>
  <c r="M90" i="1"/>
  <c r="M88" i="1"/>
  <c r="K91" i="1"/>
  <c r="K92" i="1" l="1"/>
  <c r="L92" i="1"/>
  <c r="M102" i="1"/>
  <c r="L103" i="1" l="1"/>
  <c r="K103" i="1"/>
  <c r="M101" i="1"/>
  <c r="M100" i="1"/>
  <c r="M99" i="1"/>
  <c r="M85" i="1"/>
  <c r="L87" i="1"/>
  <c r="K87" i="1"/>
  <c r="M86" i="1"/>
  <c r="M84" i="1"/>
  <c r="M83" i="1"/>
  <c r="M82" i="1"/>
  <c r="M80" i="1"/>
  <c r="M78" i="1"/>
  <c r="M76" i="1"/>
  <c r="L81" i="1"/>
  <c r="K81" i="1"/>
  <c r="L79" i="1"/>
  <c r="K79" i="1"/>
  <c r="K69" i="1"/>
  <c r="L98" i="1"/>
  <c r="K98" i="1"/>
  <c r="M97" i="1"/>
  <c r="M95" i="1"/>
  <c r="M94" i="1"/>
  <c r="M93" i="1"/>
  <c r="L77" i="1"/>
  <c r="K77" i="1"/>
  <c r="L75" i="1"/>
  <c r="K75" i="1"/>
  <c r="M74" i="1"/>
  <c r="M73" i="1"/>
  <c r="M72" i="1"/>
  <c r="M71" i="1"/>
  <c r="M70" i="1"/>
  <c r="L69" i="1"/>
  <c r="M68" i="1"/>
  <c r="M67" i="1"/>
  <c r="M66" i="1"/>
  <c r="M65" i="1"/>
  <c r="M64" i="1"/>
  <c r="L43" i="1" l="1"/>
  <c r="K43" i="1"/>
  <c r="L56" i="1"/>
  <c r="K56" i="1"/>
  <c r="L62" i="1"/>
  <c r="L49" i="1"/>
  <c r="L7" i="1"/>
  <c r="L5" i="1"/>
  <c r="M48" i="1" l="1"/>
  <c r="L41" i="1"/>
  <c r="K41" i="1"/>
  <c r="M36" i="1"/>
  <c r="K62" i="1"/>
  <c r="M61" i="1"/>
  <c r="M59" i="1"/>
  <c r="M58" i="1"/>
  <c r="M57" i="1"/>
  <c r="L54" i="1"/>
  <c r="K54" i="1"/>
  <c r="M53" i="1"/>
  <c r="M52" i="1"/>
  <c r="M51" i="1"/>
  <c r="M50" i="1"/>
  <c r="K49" i="1"/>
  <c r="M47" i="1"/>
  <c r="M46" i="1"/>
  <c r="M45" i="1"/>
  <c r="M44" i="1"/>
  <c r="M40" i="1"/>
  <c r="M39" i="1"/>
  <c r="M38" i="1"/>
  <c r="M37" i="1"/>
  <c r="K28" i="1"/>
  <c r="L11" i="1"/>
  <c r="K7" i="1"/>
  <c r="M7" i="1" s="1"/>
  <c r="K5" i="1"/>
  <c r="L28" i="1"/>
  <c r="K11" i="1" l="1"/>
  <c r="M5" i="1"/>
  <c r="L34" i="1" l="1"/>
  <c r="K34" i="1"/>
  <c r="L23" i="1"/>
  <c r="K23" i="1"/>
  <c r="L17" i="1"/>
  <c r="K17" i="1"/>
  <c r="K35" i="1" l="1"/>
  <c r="K63" i="1" s="1"/>
  <c r="K104" i="1" s="1"/>
  <c r="K133" i="1" s="1"/>
  <c r="K161" i="1" s="1"/>
  <c r="K204" i="1" s="1"/>
  <c r="K227" i="1" s="1"/>
  <c r="K258" i="1" s="1"/>
  <c r="K317" i="1" s="1"/>
  <c r="K329" i="1" s="1"/>
  <c r="K336" i="1" s="1"/>
  <c r="L35" i="1"/>
  <c r="L63" i="1" s="1"/>
  <c r="L104" i="1" s="1"/>
  <c r="L133" i="1" s="1"/>
  <c r="L161" i="1" s="1"/>
  <c r="L204" i="1" s="1"/>
  <c r="L227" i="1" s="1"/>
  <c r="L258" i="1" s="1"/>
  <c r="L317" i="1" s="1"/>
  <c r="L329" i="1" s="1"/>
  <c r="L336" i="1" s="1"/>
  <c r="M33" i="1"/>
  <c r="M32" i="1"/>
  <c r="M31" i="1"/>
  <c r="M30" i="1"/>
  <c r="M29" i="1"/>
  <c r="K292" i="1" l="1"/>
  <c r="L292" i="1"/>
  <c r="M27" i="1"/>
  <c r="M26" i="1"/>
  <c r="M25" i="1"/>
  <c r="M24" i="1"/>
  <c r="M21" i="1"/>
  <c r="M20" i="1"/>
  <c r="M19" i="1"/>
  <c r="M18" i="1"/>
  <c r="M16" i="1"/>
  <c r="M15" i="1"/>
  <c r="M14" i="1"/>
  <c r="M13" i="1"/>
  <c r="M12" i="1"/>
  <c r="L249" i="5" l="1"/>
  <c r="O234" i="5" l="1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P79" i="5" s="1"/>
  <c r="M81" i="5"/>
  <c r="N81" i="5"/>
  <c r="N12" i="5"/>
  <c r="N226" i="5" s="1"/>
  <c r="N233" i="5" s="1"/>
  <c r="N235" i="5" s="1"/>
  <c r="M12" i="5"/>
  <c r="P12" i="5" l="1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9" i="5"/>
  <c r="R61" i="5"/>
  <c r="R17" i="5"/>
  <c r="R48" i="5"/>
  <c r="R20" i="5"/>
  <c r="R63" i="5"/>
  <c r="R31" i="5"/>
  <c r="R12" i="5" l="1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<sst xmlns="http://schemas.openxmlformats.org/spreadsheetml/2006/main" count="759" uniqueCount="240">
  <si>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</si>
  <si>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</si>
  <si>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</si>
  <si>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</si>
  <si>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</si>
  <si>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</si>
  <si>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</si>
  <si>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</si>
  <si>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</si>
  <si>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</si>
  <si>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</si>
  <si>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</si>
  <si>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</si>
  <si>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</si>
  <si>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</si>
  <si>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</si>
  <si>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</si>
  <si>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</si>
  <si>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</si>
  <si>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</si>
  <si>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</si>
  <si>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</si>
  <si>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</si>
  <si>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</si>
  <si>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</si>
  <si>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</si>
  <si>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</si>
  <si>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</si>
  <si>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</si>
  <si>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</si>
  <si>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</si>
  <si>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</si>
  <si>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</si>
  <si>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</si>
  <si>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</si>
  <si>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</si>
  <si>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</si>
  <si>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</si>
  <si>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</si>
  <si>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</si>
  <si>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</si>
  <si>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</si>
  <si>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</si>
  <si>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</si>
  <si>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</si>
  <si>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</si>
  <si>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</si>
  <si>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</si>
  <si>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</si>
  <si>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</si>
  <si>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</si>
  <si>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</si>
  <si>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</si>
  <si>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</si>
  <si>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</si>
  <si>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</si>
  <si>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</si>
  <si>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</si>
  <si>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</si>
  <si>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</si>
  <si>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</si>
  <si>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</si>
  <si>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</si>
  <si>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</si>
  <si>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</si>
  <si>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</si>
  <si>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</si>
  <si>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</si>
  <si>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</si>
  <si>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</si>
  <si>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</si>
  <si>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</si>
  <si>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</si>
  <si>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</si>
  <si>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</si>
  <si>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</si>
  <si>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</si>
  <si>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</si>
  <si>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</si>
  <si>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</si>
  <si>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</si>
  <si>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</si>
  <si>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</si>
  <si>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</si>
  <si>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</si>
  <si>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</si>
  <si>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</si>
  <si>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</si>
  <si>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</si>
  <si>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</si>
  <si>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</si>
  <si>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</si>
  <si>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</si>
  <si>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</si>
  <si>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</si>
  <si>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</si>
  <si>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</si>
  <si>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</si>
  <si>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</si>
  <si>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</si>
  <si>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</si>
  <si>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</si>
  <si>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</si>
  <si>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</si>
  <si>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</si>
  <si>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</si>
  <si>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</si>
  <si>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</si>
  <si>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</si>
  <si>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</si>
  <si>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</si>
  <si>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</si>
  <si>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</si>
  <si>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</si>
  <si>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</si>
  <si>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</si>
  <si>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</si>
  <si>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</si>
  <si>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</si>
  <si>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</si>
  <si>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</si>
  <si>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FR0053</t>
  </si>
  <si>
    <t>SPN12160401</t>
  </si>
  <si>
    <t>FR0056</t>
  </si>
  <si>
    <t>FR0072</t>
  </si>
  <si>
    <t>SPN12170106</t>
  </si>
  <si>
    <t>SPNS13072016</t>
  </si>
  <si>
    <t>PBS006</t>
  </si>
  <si>
    <t>PBS009</t>
  </si>
  <si>
    <t>PBS011</t>
  </si>
  <si>
    <t>PBS012</t>
  </si>
  <si>
    <t>FR0073</t>
  </si>
  <si>
    <t>-</t>
  </si>
  <si>
    <t>T o t a l</t>
  </si>
  <si>
    <t>FR0070</t>
  </si>
  <si>
    <t>FR0046</t>
  </si>
  <si>
    <t>RI0126</t>
  </si>
  <si>
    <t>USD5.500.000</t>
  </si>
  <si>
    <t>USD2.250.000</t>
  </si>
  <si>
    <t>RI0146</t>
  </si>
  <si>
    <t>USD2.600.000</t>
  </si>
  <si>
    <t>USD1.250.000</t>
  </si>
  <si>
    <t>Bookbuilding</t>
  </si>
  <si>
    <t>Private Placement</t>
  </si>
  <si>
    <t>Lelang</t>
  </si>
  <si>
    <t>T o t a l (2)</t>
  </si>
  <si>
    <r>
      <t>T o t a l (</t>
    </r>
    <r>
      <rPr>
        <b/>
        <i/>
        <sz val="8"/>
        <rFont val="Arial"/>
        <family val="2"/>
      </rPr>
      <t>Pre-funding</t>
    </r>
    <r>
      <rPr>
        <b/>
        <sz val="8"/>
        <rFont val="Arial"/>
        <family val="2"/>
      </rPr>
      <t>) (1)</t>
    </r>
  </si>
  <si>
    <t>G r a n d   T o t a l s.d. 31 Januari 2016</t>
  </si>
  <si>
    <t>SPN03160503</t>
  </si>
  <si>
    <t>SPN12170203</t>
  </si>
  <si>
    <t>SPNS10082016</t>
  </si>
  <si>
    <t>G r a n d   T o t a l s.d. 29 Februari 2016</t>
  </si>
  <si>
    <t>Tanggal Lelang/
Pricing Date</t>
  </si>
  <si>
    <t>Tanggal Setelmen/Settlement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</si>
  <si>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</si>
  <si>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</si>
  <si>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</si>
  <si>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</si>
  <si>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</si>
  <si>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Total Penawaran Diterima/ Awarded Bid</t>
  </si>
  <si>
    <t>FR0069</t>
  </si>
  <si>
    <t>PBS010</t>
  </si>
  <si>
    <t>SPN03160602</t>
  </si>
  <si>
    <t>SPN12170302</t>
  </si>
  <si>
    <t>SPNS09092016</t>
  </si>
  <si>
    <t>SR-008</t>
  </si>
  <si>
    <t>SPNNT20160610</t>
  </si>
  <si>
    <t>FR0067</t>
  </si>
  <si>
    <t>G r a n d   T o t a l s.d. 31 Maret 2016</t>
  </si>
  <si>
    <t>SNI21</t>
  </si>
  <si>
    <t>SNI26</t>
  </si>
  <si>
    <t>USD2.627.550</t>
  </si>
  <si>
    <t>kurs tgl 21</t>
  </si>
  <si>
    <t>kurs tgl 29</t>
  </si>
  <si>
    <t>USD750.000</t>
  </si>
  <si>
    <t>USD5.988.550</t>
  </si>
  <si>
    <t>USD1.750.000</t>
  </si>
  <si>
    <t>SPNS06102016</t>
  </si>
  <si>
    <t>SDHI2019C</t>
  </si>
  <si>
    <t>SPNS04112016</t>
  </si>
  <si>
    <t>SPN03160713</t>
  </si>
  <si>
    <t>SPN12170413</t>
  </si>
  <si>
    <t>SPN03160811</t>
  </si>
  <si>
    <t>SPN12170511</t>
  </si>
  <si>
    <t>G r a n d   T o t a l s.d. 30 April 2016</t>
  </si>
  <si>
    <t>Diskonto</t>
  </si>
  <si>
    <t>SBR002</t>
  </si>
  <si>
    <t>G r a n d   T o t a l s.d. 31 Mei 2016</t>
  </si>
  <si>
    <t>SPNS01122016</t>
  </si>
  <si>
    <t>SPN03160908</t>
  </si>
  <si>
    <t>SPN12170608</t>
  </si>
  <si>
    <t>SPNS29122016</t>
  </si>
  <si>
    <t>RIEUR0623</t>
  </si>
  <si>
    <t>RIEUR0628</t>
  </si>
  <si>
    <t>EUR4.230.000</t>
  </si>
  <si>
    <t>EUR4.130.000</t>
  </si>
  <si>
    <t>EUR1.500.000</t>
  </si>
  <si>
    <t>RIJPY0619</t>
  </si>
  <si>
    <t>RIJPY0621</t>
  </si>
  <si>
    <t>JPY62.000.000.000</t>
  </si>
  <si>
    <t>JPY38.000.000.000</t>
  </si>
  <si>
    <t>USDFR0002</t>
  </si>
  <si>
    <t>USD200.000.000</t>
  </si>
  <si>
    <t>G r a n d   T o t a l s.d. 30 Juni 2016</t>
  </si>
  <si>
    <t>SPNSNT 12102016</t>
  </si>
  <si>
    <t>FR0057</t>
  </si>
  <si>
    <t>FR0045</t>
  </si>
  <si>
    <t>FR0071</t>
  </si>
  <si>
    <t>SPN03161020</t>
  </si>
  <si>
    <t>SPN12170720</t>
  </si>
  <si>
    <t>SPNS27012017</t>
  </si>
  <si>
    <t>SPN03161104</t>
  </si>
  <si>
    <t>SPN12170804</t>
  </si>
  <si>
    <t>G r a n d   T o t a l s.d. 31 Juli 2016</t>
  </si>
  <si>
    <t>SPNS24022017</t>
  </si>
  <si>
    <t>SPN12161202</t>
  </si>
  <si>
    <t>ST-001</t>
  </si>
  <si>
    <t>G r a n d   T o t a l s.d. 31 Agustus 2016</t>
  </si>
  <si>
    <t>SPNNTD20160701</t>
  </si>
  <si>
    <t>SPNNTD20160930</t>
  </si>
  <si>
    <t>Nominal Dalam Juta Rupiah</t>
  </si>
  <si>
    <t>SPNS21032017</t>
  </si>
  <si>
    <t>PBS013</t>
  </si>
  <si>
    <t>PBS014</t>
  </si>
  <si>
    <t>SPN03170112</t>
  </si>
  <si>
    <t>SPN12171012</t>
  </si>
  <si>
    <t>SPNS19042017</t>
  </si>
  <si>
    <t>ORI013</t>
  </si>
  <si>
    <t>G r a n d   T o t a l s.d. 30 September 2016</t>
  </si>
  <si>
    <t>G r a n d   T o t a l s.d. 31 Oktober 2016</t>
  </si>
  <si>
    <t>SPN12170914</t>
  </si>
  <si>
    <t>SPN03170209</t>
  </si>
  <si>
    <t>SPN12171109</t>
  </si>
  <si>
    <t>FR0074</t>
  </si>
  <si>
    <t>G r a n d   T o t a l s.d. 30 November 2016</t>
  </si>
  <si>
    <t>Ringkasan Hasil Penerbitan Surat Berharga Negara / Summary Result of Government Securities Issuance - Tahun 2016 (juta rupiah)</t>
  </si>
  <si>
    <t>SPN03170307</t>
  </si>
  <si>
    <t>SPN12171207</t>
  </si>
  <si>
    <t>G r a n d   T o t a l s.d. 31 Desember 2016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</si>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</sst>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0.00000%"/>
    <numFmt numFmtId="168" formatCode="_(* #,##0_);_(* \(#,##0\);_(* &quot;-&quot;??_);_(@_)"/>
    <numFmt numFmtId="169" formatCode="[$-409]d\-mmm;@"/>
    <numFmt numFmtId="170" formatCode="[$-409]d\-mmm\-yy;@"/>
    <numFmt numFmtId="171" formatCode="_-* #,##0.00000_-;\-* #,##0.00000_-;_-* &quot;-&quot;??_-;_-@_-"/>
  </numFmts>
  <fonts count="2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73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Border="1" applyAlignment="1">
      <alignment horizontal="right"/>
    </xf>
    <xf numFmtId="0" fontId="19" fillId="0" borderId="14" xfId="0" applyFont="1" applyBorder="1" applyAlignment="1"/>
    <xf numFmtId="15" fontId="19" fillId="0" borderId="15" xfId="0" applyNumberFormat="1" applyFont="1" applyBorder="1" applyAlignment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164" fontId="19" fillId="0" borderId="15" xfId="29" applyFont="1" applyBorder="1" applyAlignment="1"/>
    <xf numFmtId="164" fontId="19" fillId="0" borderId="16" xfId="29" applyFont="1" applyBorder="1" applyAlignment="1"/>
    <xf numFmtId="164" fontId="19" fillId="0" borderId="18" xfId="29" applyFont="1" applyBorder="1" applyAlignment="1"/>
    <xf numFmtId="0" fontId="19" fillId="0" borderId="13" xfId="0" applyNumberFormat="1" applyFont="1" applyBorder="1" applyAlignment="1"/>
    <xf numFmtId="0" fontId="19" fillId="0" borderId="0" xfId="0" applyNumberFormat="1" applyFont="1" applyBorder="1" applyAlignment="1"/>
    <xf numFmtId="0" fontId="20" fillId="0" borderId="14" xfId="0" applyFont="1" applyBorder="1" applyAlignment="1"/>
    <xf numFmtId="15" fontId="20" fillId="0" borderId="15" xfId="0" applyNumberFormat="1" applyFont="1" applyBorder="1" applyAlignment="1"/>
    <xf numFmtId="10" fontId="20" fillId="0" borderId="16" xfId="41" applyNumberFormat="1" applyFont="1" applyBorder="1" applyAlignment="1"/>
    <xf numFmtId="0" fontId="20" fillId="0" borderId="15" xfId="0" applyFont="1" applyBorder="1" applyAlignment="1"/>
    <xf numFmtId="164" fontId="20" fillId="0" borderId="15" xfId="29" applyFont="1" applyBorder="1" applyAlignment="1"/>
    <xf numFmtId="164" fontId="20" fillId="0" borderId="16" xfId="29" applyFont="1" applyBorder="1" applyAlignment="1"/>
    <xf numFmtId="164" fontId="20" fillId="0" borderId="14" xfId="29" applyFont="1" applyBorder="1" applyAlignment="1"/>
    <xf numFmtId="164" fontId="20" fillId="0" borderId="18" xfId="29" applyFont="1" applyBorder="1" applyAlignment="1"/>
    <xf numFmtId="9" fontId="20" fillId="0" borderId="16" xfId="41" applyFont="1" applyBorder="1" applyAlignment="1"/>
    <xf numFmtId="167" fontId="20" fillId="0" borderId="16" xfId="41" applyNumberFormat="1" applyFont="1" applyBorder="1" applyAlignment="1"/>
    <xf numFmtId="167" fontId="20" fillId="0" borderId="15" xfId="0" applyNumberFormat="1" applyFont="1" applyBorder="1" applyAlignment="1"/>
    <xf numFmtId="165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164" fontId="19" fillId="0" borderId="10" xfId="29" applyFont="1" applyBorder="1"/>
    <xf numFmtId="166" fontId="19" fillId="0" borderId="12" xfId="29" applyNumberFormat="1" applyFont="1" applyFill="1" applyBorder="1" applyAlignment="1">
      <alignment horizontal="center"/>
    </xf>
    <xf numFmtId="164" fontId="19" fillId="0" borderId="11" xfId="29" applyFont="1" applyBorder="1"/>
    <xf numFmtId="164" fontId="20" fillId="0" borderId="0" xfId="0" applyNumberFormat="1" applyFont="1"/>
    <xf numFmtId="0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164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164" fontId="19" fillId="25" borderId="22" xfId="0" applyNumberFormat="1" applyFont="1" applyFill="1" applyBorder="1"/>
    <xf numFmtId="166" fontId="20" fillId="0" borderId="18" xfId="29" applyNumberFormat="1" applyFont="1" applyBorder="1" applyAlignment="1"/>
    <xf numFmtId="164" fontId="20" fillId="24" borderId="22" xfId="0" applyNumberFormat="1" applyFont="1" applyFill="1" applyBorder="1" applyAlignment="1">
      <alignment horizontal="left"/>
    </xf>
    <xf numFmtId="164" fontId="20" fillId="0" borderId="22" xfId="0" applyNumberFormat="1" applyFont="1" applyFill="1" applyBorder="1" applyAlignment="1">
      <alignment horizontal="left"/>
    </xf>
    <xf numFmtId="164" fontId="20" fillId="0" borderId="22" xfId="0" applyNumberFormat="1" applyFont="1" applyFill="1" applyBorder="1"/>
    <xf numFmtId="165" fontId="20" fillId="0" borderId="16" xfId="28" applyFont="1" applyBorder="1" applyAlignment="1"/>
    <xf numFmtId="164" fontId="19" fillId="0" borderId="22" xfId="0" applyNumberFormat="1" applyFont="1" applyFill="1" applyBorder="1" applyAlignment="1">
      <alignment horizontal="left"/>
    </xf>
    <xf numFmtId="164" fontId="19" fillId="0" borderId="22" xfId="0" applyNumberFormat="1" applyFont="1" applyFill="1" applyBorder="1"/>
    <xf numFmtId="0" fontId="20" fillId="0" borderId="0" xfId="0" applyFont="1" applyBorder="1" applyAlignment="1">
      <alignment horizontal="center" vertical="center" wrapText="1"/>
    </xf>
    <xf numFmtId="164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165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9" fontId="20" fillId="0" borderId="23" xfId="0" applyNumberFormat="1" applyFont="1" applyBorder="1" applyAlignment="1"/>
    <xf numFmtId="169" fontId="20" fillId="0" borderId="15" xfId="0" applyNumberFormat="1" applyFont="1" applyBorder="1" applyAlignment="1"/>
    <xf numFmtId="165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0" fontId="20" fillId="0" borderId="14" xfId="0" applyFont="1" applyFill="1" applyBorder="1" applyAlignment="1"/>
    <xf numFmtId="15" fontId="20" fillId="0" borderId="15" xfId="0" applyNumberFormat="1" applyFont="1" applyFill="1" applyBorder="1" applyAlignment="1"/>
    <xf numFmtId="167" fontId="20" fillId="0" borderId="16" xfId="41" applyNumberFormat="1" applyFont="1" applyFill="1" applyBorder="1" applyAlignment="1"/>
    <xf numFmtId="167" fontId="20" fillId="0" borderId="15" xfId="0" applyNumberFormat="1" applyFont="1" applyFill="1" applyBorder="1" applyAlignment="1"/>
    <xf numFmtId="164" fontId="20" fillId="0" borderId="15" xfId="29" applyFont="1" applyFill="1" applyBorder="1" applyAlignment="1"/>
    <xf numFmtId="166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0" fontId="20" fillId="0" borderId="0" xfId="0" applyFont="1" applyFill="1"/>
    <xf numFmtId="169" fontId="20" fillId="0" borderId="26" xfId="0" applyNumberFormat="1" applyFont="1" applyFill="1" applyBorder="1" applyAlignment="1"/>
    <xf numFmtId="169" fontId="20" fillId="0" borderId="23" xfId="0" applyNumberFormat="1" applyFont="1" applyFill="1" applyBorder="1" applyAlignment="1"/>
    <xf numFmtId="169" fontId="20" fillId="0" borderId="15" xfId="0" applyNumberFormat="1" applyFont="1" applyFill="1" applyBorder="1" applyAlignment="1"/>
    <xf numFmtId="165" fontId="20" fillId="0" borderId="16" xfId="28" applyFont="1" applyFill="1" applyBorder="1" applyAlignment="1"/>
    <xf numFmtId="169" fontId="20" fillId="0" borderId="27" xfId="0" applyNumberFormat="1" applyFont="1" applyFill="1" applyBorder="1" applyAlignment="1"/>
    <xf numFmtId="0" fontId="20" fillId="0" borderId="28" xfId="0" applyFont="1" applyFill="1" applyBorder="1" applyAlignment="1"/>
    <xf numFmtId="15" fontId="20" fillId="0" borderId="26" xfId="0" applyNumberFormat="1" applyFont="1" applyFill="1" applyBorder="1" applyAlignment="1"/>
    <xf numFmtId="167" fontId="20" fillId="0" borderId="26" xfId="41" applyNumberFormat="1" applyFont="1" applyFill="1" applyBorder="1" applyAlignment="1"/>
    <xf numFmtId="167" fontId="20" fillId="0" borderId="29" xfId="41" applyNumberFormat="1" applyFont="1" applyFill="1" applyBorder="1" applyAlignment="1"/>
    <xf numFmtId="167" fontId="20" fillId="0" borderId="26" xfId="0" applyNumberFormat="1" applyFont="1" applyFill="1" applyBorder="1" applyAlignment="1"/>
    <xf numFmtId="164" fontId="20" fillId="0" borderId="26" xfId="29" applyFont="1" applyFill="1" applyBorder="1" applyAlignment="1"/>
    <xf numFmtId="164" fontId="20" fillId="0" borderId="26" xfId="29" applyFont="1" applyFill="1" applyBorder="1" applyAlignment="1">
      <alignment horizontal="right"/>
    </xf>
    <xf numFmtId="166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8" fontId="20" fillId="0" borderId="0" xfId="28" applyNumberFormat="1" applyFont="1"/>
    <xf numFmtId="165" fontId="19" fillId="0" borderId="0" xfId="28" applyFont="1" applyBorder="1"/>
    <xf numFmtId="169" fontId="20" fillId="0" borderId="0" xfId="0" applyNumberFormat="1" applyFont="1" applyBorder="1" applyAlignment="1"/>
    <xf numFmtId="169" fontId="20" fillId="26" borderId="23" xfId="0" applyNumberFormat="1" applyFont="1" applyFill="1" applyBorder="1" applyAlignment="1"/>
    <xf numFmtId="169" fontId="20" fillId="26" borderId="15" xfId="0" applyNumberFormat="1" applyFont="1" applyFill="1" applyBorder="1" applyAlignment="1"/>
    <xf numFmtId="0" fontId="20" fillId="26" borderId="14" xfId="0" applyFont="1" applyFill="1" applyBorder="1" applyAlignment="1"/>
    <xf numFmtId="15" fontId="20" fillId="26" borderId="15" xfId="0" applyNumberFormat="1" applyFont="1" applyFill="1" applyBorder="1" applyAlignment="1"/>
    <xf numFmtId="165" fontId="20" fillId="26" borderId="16" xfId="28" applyFont="1" applyFill="1" applyBorder="1" applyAlignment="1"/>
    <xf numFmtId="167" fontId="20" fillId="26" borderId="16" xfId="41" applyNumberFormat="1" applyFont="1" applyFill="1" applyBorder="1" applyAlignment="1"/>
    <xf numFmtId="167" fontId="20" fillId="26" borderId="15" xfId="0" applyNumberFormat="1" applyFont="1" applyFill="1" applyBorder="1" applyAlignment="1"/>
    <xf numFmtId="164" fontId="20" fillId="26" borderId="15" xfId="29" applyFont="1" applyFill="1" applyBorder="1" applyAlignment="1"/>
    <xf numFmtId="166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9" fontId="20" fillId="26" borderId="0" xfId="0" applyNumberFormat="1" applyFont="1" applyFill="1" applyBorder="1" applyAlignment="1"/>
    <xf numFmtId="0" fontId="19" fillId="26" borderId="13" xfId="0" applyNumberFormat="1" applyFont="1" applyFill="1" applyBorder="1" applyAlignment="1"/>
    <xf numFmtId="0" fontId="19" fillId="26" borderId="0" xfId="0" applyNumberFormat="1" applyFont="1" applyFill="1" applyBorder="1" applyAlignment="1"/>
    <xf numFmtId="10" fontId="20" fillId="0" borderId="0" xfId="41" applyNumberFormat="1" applyFont="1"/>
    <xf numFmtId="10" fontId="20" fillId="0" borderId="16" xfId="28" applyNumberFormat="1" applyFont="1" applyBorder="1" applyAlignment="1"/>
    <xf numFmtId="167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165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0" fontId="19" fillId="0" borderId="13" xfId="0" applyNumberFormat="1" applyFont="1" applyFill="1" applyBorder="1" applyAlignment="1"/>
    <xf numFmtId="169" fontId="20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166" fontId="21" fillId="0" borderId="30" xfId="29" applyNumberFormat="1" applyFont="1" applyFill="1" applyBorder="1" applyAlignment="1"/>
    <xf numFmtId="164" fontId="20" fillId="0" borderId="26" xfId="29" applyFont="1" applyBorder="1" applyAlignment="1"/>
    <xf numFmtId="167" fontId="20" fillId="0" borderId="14" xfId="0" applyNumberFormat="1" applyFont="1" applyFill="1" applyBorder="1" applyAlignment="1"/>
    <xf numFmtId="167" fontId="20" fillId="0" borderId="28" xfId="0" applyNumberFormat="1" applyFont="1" applyFill="1" applyBorder="1" applyAlignment="1"/>
    <xf numFmtId="0" fontId="20" fillId="0" borderId="22" xfId="0" applyFont="1" applyBorder="1"/>
    <xf numFmtId="164" fontId="19" fillId="0" borderId="22" xfId="29" applyFont="1" applyBorder="1"/>
    <xf numFmtId="164" fontId="20" fillId="0" borderId="22" xfId="0" applyNumberFormat="1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165" fontId="20" fillId="25" borderId="0" xfId="0" applyNumberFormat="1" applyFont="1" applyFill="1"/>
    <xf numFmtId="0" fontId="20" fillId="25" borderId="0" xfId="0" applyFont="1" applyFill="1"/>
    <xf numFmtId="169" fontId="20" fillId="26" borderId="27" xfId="0" applyNumberFormat="1" applyFont="1" applyFill="1" applyBorder="1" applyAlignment="1"/>
    <xf numFmtId="0" fontId="20" fillId="26" borderId="28" xfId="0" applyFont="1" applyFill="1" applyBorder="1" applyAlignment="1"/>
    <xf numFmtId="15" fontId="20" fillId="26" borderId="26" xfId="0" applyNumberFormat="1" applyFont="1" applyFill="1" applyBorder="1" applyAlignment="1"/>
    <xf numFmtId="165" fontId="20" fillId="26" borderId="29" xfId="28" applyFont="1" applyFill="1" applyBorder="1" applyAlignment="1"/>
    <xf numFmtId="167" fontId="20" fillId="26" borderId="29" xfId="41" applyNumberFormat="1" applyFont="1" applyFill="1" applyBorder="1" applyAlignment="1"/>
    <xf numFmtId="167" fontId="20" fillId="26" borderId="26" xfId="0" applyNumberFormat="1" applyFont="1" applyFill="1" applyBorder="1" applyAlignment="1"/>
    <xf numFmtId="164" fontId="20" fillId="26" borderId="26" xfId="29" applyFont="1" applyFill="1" applyBorder="1" applyAlignment="1"/>
    <xf numFmtId="166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NumberFormat="1" applyFont="1" applyFill="1" applyBorder="1" applyAlignment="1"/>
    <xf numFmtId="169" fontId="20" fillId="26" borderId="35" xfId="0" applyNumberFormat="1" applyFont="1" applyFill="1" applyBorder="1" applyAlignment="1"/>
    <xf numFmtId="0" fontId="20" fillId="26" borderId="36" xfId="0" applyFont="1" applyFill="1" applyBorder="1" applyAlignment="1"/>
    <xf numFmtId="15" fontId="20" fillId="26" borderId="32" xfId="0" applyNumberFormat="1" applyFont="1" applyFill="1" applyBorder="1" applyAlignment="1"/>
    <xf numFmtId="165" fontId="20" fillId="26" borderId="37" xfId="28" applyFont="1" applyFill="1" applyBorder="1" applyAlignment="1"/>
    <xf numFmtId="167" fontId="20" fillId="26" borderId="37" xfId="41" applyNumberFormat="1" applyFont="1" applyFill="1" applyBorder="1" applyAlignment="1"/>
    <xf numFmtId="167" fontId="20" fillId="26" borderId="32" xfId="0" applyNumberFormat="1" applyFont="1" applyFill="1" applyBorder="1" applyAlignment="1"/>
    <xf numFmtId="164" fontId="20" fillId="26" borderId="32" xfId="29" applyFont="1" applyFill="1" applyBorder="1" applyAlignment="1"/>
    <xf numFmtId="166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NumberFormat="1" applyFont="1" applyFill="1" applyBorder="1" applyAlignment="1"/>
    <xf numFmtId="0" fontId="19" fillId="26" borderId="40" xfId="0" applyNumberFormat="1" applyFont="1" applyFill="1" applyBorder="1" applyAlignment="1"/>
    <xf numFmtId="0" fontId="20" fillId="26" borderId="41" xfId="0" applyFont="1" applyFill="1" applyBorder="1" applyAlignment="1"/>
    <xf numFmtId="15" fontId="20" fillId="26" borderId="42" xfId="0" applyNumberFormat="1" applyFont="1" applyFill="1" applyBorder="1" applyAlignment="1"/>
    <xf numFmtId="167" fontId="20" fillId="26" borderId="43" xfId="41" applyNumberFormat="1" applyFont="1" applyFill="1" applyBorder="1" applyAlignment="1"/>
    <xf numFmtId="167" fontId="20" fillId="26" borderId="42" xfId="0" applyNumberFormat="1" applyFont="1" applyFill="1" applyBorder="1" applyAlignment="1"/>
    <xf numFmtId="164" fontId="20" fillId="26" borderId="42" xfId="29" applyFont="1" applyFill="1" applyBorder="1" applyAlignment="1"/>
    <xf numFmtId="166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164" fontId="20" fillId="0" borderId="15" xfId="29" applyFont="1" applyFill="1" applyBorder="1" applyAlignment="1">
      <alignment horizontal="right"/>
    </xf>
    <xf numFmtId="0" fontId="19" fillId="26" borderId="35" xfId="0" applyNumberFormat="1" applyFont="1" applyFill="1" applyBorder="1" applyAlignment="1"/>
    <xf numFmtId="0" fontId="22" fillId="0" borderId="0" xfId="0" applyFont="1"/>
    <xf numFmtId="15" fontId="20" fillId="26" borderId="0" xfId="0" applyNumberFormat="1" applyFont="1" applyFill="1" applyBorder="1" applyAlignment="1"/>
    <xf numFmtId="167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165" fontId="20" fillId="0" borderId="0" xfId="0" applyNumberFormat="1" applyFont="1" applyFill="1"/>
    <xf numFmtId="0" fontId="20" fillId="0" borderId="36" xfId="0" applyFont="1" applyFill="1" applyBorder="1" applyAlignment="1"/>
    <xf numFmtId="15" fontId="20" fillId="0" borderId="32" xfId="0" applyNumberFormat="1" applyFont="1" applyFill="1" applyBorder="1" applyAlignment="1"/>
    <xf numFmtId="167" fontId="20" fillId="0" borderId="37" xfId="41" applyNumberFormat="1" applyFont="1" applyFill="1" applyBorder="1" applyAlignment="1"/>
    <xf numFmtId="164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9" fontId="20" fillId="0" borderId="46" xfId="0" applyNumberFormat="1" applyFont="1" applyFill="1" applyBorder="1" applyAlignment="1"/>
    <xf numFmtId="167" fontId="20" fillId="0" borderId="16" xfId="0" applyNumberFormat="1" applyFont="1" applyBorder="1" applyAlignment="1"/>
    <xf numFmtId="164" fontId="20" fillId="26" borderId="15" xfId="29" applyFont="1" applyFill="1" applyBorder="1" applyAlignment="1">
      <alignment horizontal="right"/>
    </xf>
    <xf numFmtId="169" fontId="20" fillId="0" borderId="15" xfId="0" applyNumberFormat="1" applyFont="1" applyFill="1" applyBorder="1" applyAlignment="1">
      <alignment horizontal="center" vertical="center" wrapText="1"/>
    </xf>
    <xf numFmtId="164" fontId="20" fillId="0" borderId="47" xfId="29" applyFont="1" applyFill="1" applyBorder="1" applyAlignment="1">
      <alignment horizontal="center"/>
    </xf>
    <xf numFmtId="166" fontId="19" fillId="0" borderId="22" xfId="29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69" fontId="20" fillId="0" borderId="47" xfId="0" applyNumberFormat="1" applyFont="1" applyFill="1" applyBorder="1" applyAlignment="1">
      <alignment horizontal="center"/>
    </xf>
    <xf numFmtId="0" fontId="19" fillId="0" borderId="47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164" fontId="19" fillId="0" borderId="22" xfId="29" applyFont="1" applyBorder="1" applyAlignment="1">
      <alignment horizontal="center"/>
    </xf>
    <xf numFmtId="0" fontId="20" fillId="0" borderId="47" xfId="0" applyFont="1" applyFill="1" applyBorder="1" applyAlignment="1">
      <alignment horizontal="left"/>
    </xf>
    <xf numFmtId="170" fontId="20" fillId="0" borderId="47" xfId="0" applyNumberFormat="1" applyFont="1" applyFill="1" applyBorder="1" applyAlignment="1">
      <alignment horizontal="center"/>
    </xf>
    <xf numFmtId="167" fontId="20" fillId="0" borderId="47" xfId="41" applyNumberFormat="1" applyFont="1" applyFill="1" applyBorder="1" applyAlignment="1">
      <alignment horizontal="center"/>
    </xf>
    <xf numFmtId="167" fontId="20" fillId="0" borderId="47" xfId="0" applyNumberFormat="1" applyFont="1" applyFill="1" applyBorder="1" applyAlignment="1">
      <alignment horizontal="center"/>
    </xf>
    <xf numFmtId="166" fontId="20" fillId="0" borderId="47" xfId="29" applyNumberFormat="1" applyFont="1" applyFill="1" applyBorder="1" applyAlignment="1">
      <alignment horizontal="center"/>
    </xf>
    <xf numFmtId="15" fontId="20" fillId="0" borderId="47" xfId="0" applyNumberFormat="1" applyFont="1" applyFill="1" applyBorder="1" applyAlignment="1">
      <alignment horizontal="center"/>
    </xf>
    <xf numFmtId="167" fontId="20" fillId="0" borderId="0" xfId="0" applyNumberFormat="1" applyFont="1" applyAlignment="1">
      <alignment horizontal="center"/>
    </xf>
    <xf numFmtId="164" fontId="20" fillId="0" borderId="47" xfId="29" applyFont="1" applyFill="1" applyBorder="1" applyAlignment="1"/>
    <xf numFmtId="164" fontId="20" fillId="0" borderId="47" xfId="29" quotePrefix="1" applyFont="1" applyFill="1" applyBorder="1" applyAlignment="1"/>
    <xf numFmtId="0" fontId="20" fillId="0" borderId="47" xfId="0" applyFont="1" applyFill="1" applyBorder="1" applyAlignment="1"/>
    <xf numFmtId="164" fontId="20" fillId="0" borderId="47" xfId="29" applyNumberFormat="1" applyFont="1" applyFill="1" applyBorder="1" applyAlignment="1">
      <alignment horizontal="center"/>
    </xf>
    <xf numFmtId="164" fontId="20" fillId="0" borderId="48" xfId="29" quotePrefix="1" applyFont="1" applyFill="1" applyBorder="1" applyAlignment="1"/>
    <xf numFmtId="166" fontId="20" fillId="0" borderId="48" xfId="29" applyNumberFormat="1" applyFont="1" applyFill="1" applyBorder="1" applyAlignment="1">
      <alignment horizontal="center"/>
    </xf>
    <xf numFmtId="164" fontId="20" fillId="0" borderId="0" xfId="29" applyFont="1" applyFill="1" applyBorder="1" applyAlignment="1">
      <alignment horizontal="right"/>
    </xf>
    <xf numFmtId="9" fontId="20" fillId="0" borderId="0" xfId="41" applyFont="1" applyFill="1" applyBorder="1" applyAlignment="1">
      <alignment horizontal="right"/>
    </xf>
    <xf numFmtId="165" fontId="20" fillId="0" borderId="0" xfId="28" applyFont="1" applyFill="1" applyBorder="1" applyAlignment="1">
      <alignment horizontal="right"/>
    </xf>
    <xf numFmtId="165" fontId="20" fillId="0" borderId="0" xfId="28" applyFont="1" applyFill="1"/>
    <xf numFmtId="164" fontId="20" fillId="0" borderId="0" xfId="0" applyNumberFormat="1" applyFont="1" applyFill="1"/>
    <xf numFmtId="16" fontId="20" fillId="0" borderId="47" xfId="0" applyNumberFormat="1" applyFont="1" applyFill="1" applyBorder="1" applyAlignment="1">
      <alignment horizontal="center"/>
    </xf>
    <xf numFmtId="10" fontId="20" fillId="0" borderId="47" xfId="41" applyNumberFormat="1" applyFont="1" applyFill="1" applyBorder="1" applyAlignment="1">
      <alignment horizontal="center"/>
    </xf>
    <xf numFmtId="167" fontId="20" fillId="0" borderId="52" xfId="29" applyNumberFormat="1" applyFont="1" applyFill="1" applyBorder="1" applyAlignment="1">
      <alignment horizontal="center"/>
    </xf>
    <xf numFmtId="10" fontId="20" fillId="0" borderId="47" xfId="29" applyNumberFormat="1" applyFont="1" applyFill="1" applyBorder="1" applyAlignment="1">
      <alignment horizontal="center"/>
    </xf>
    <xf numFmtId="164" fontId="20" fillId="0" borderId="47" xfId="29" quotePrefix="1" applyFont="1" applyFill="1" applyBorder="1" applyAlignment="1">
      <alignment horizontal="center"/>
    </xf>
    <xf numFmtId="0" fontId="20" fillId="0" borderId="47" xfId="0" applyNumberFormat="1" applyFont="1" applyFill="1" applyBorder="1" applyAlignment="1">
      <alignment horizontal="center"/>
    </xf>
    <xf numFmtId="167" fontId="20" fillId="0" borderId="47" xfId="29" applyNumberFormat="1" applyFont="1" applyFill="1" applyBorder="1" applyAlignment="1">
      <alignment horizontal="center"/>
    </xf>
    <xf numFmtId="0" fontId="20" fillId="0" borderId="47" xfId="0" applyFont="1" applyFill="1" applyBorder="1" applyAlignment="1">
      <alignment horizontal="center"/>
    </xf>
    <xf numFmtId="16" fontId="24" fillId="0" borderId="47" xfId="0" applyNumberFormat="1" applyFont="1" applyFill="1" applyBorder="1" applyAlignment="1">
      <alignment horizontal="center"/>
    </xf>
    <xf numFmtId="0" fontId="26" fillId="28" borderId="22" xfId="0" applyFont="1" applyFill="1" applyBorder="1" applyAlignment="1">
      <alignment horizontal="center" vertical="center" wrapText="1"/>
    </xf>
    <xf numFmtId="167" fontId="26" fillId="28" borderId="22" xfId="0" applyNumberFormat="1" applyFont="1" applyFill="1" applyBorder="1" applyAlignment="1">
      <alignment horizontal="center" vertical="center" wrapText="1"/>
    </xf>
    <xf numFmtId="0" fontId="26" fillId="28" borderId="10" xfId="0" applyFont="1" applyFill="1" applyBorder="1" applyAlignment="1">
      <alignment horizontal="center" vertical="center" wrapText="1"/>
    </xf>
    <xf numFmtId="170" fontId="20" fillId="0" borderId="48" xfId="0" applyNumberFormat="1" applyFont="1" applyFill="1" applyBorder="1" applyAlignment="1">
      <alignment horizontal="center"/>
    </xf>
    <xf numFmtId="16" fontId="24" fillId="0" borderId="48" xfId="0" applyNumberFormat="1" applyFont="1" applyFill="1" applyBorder="1" applyAlignment="1">
      <alignment horizontal="center"/>
    </xf>
    <xf numFmtId="0" fontId="20" fillId="0" borderId="48" xfId="0" applyFont="1" applyFill="1" applyBorder="1" applyAlignment="1">
      <alignment horizontal="left"/>
    </xf>
    <xf numFmtId="15" fontId="20" fillId="0" borderId="48" xfId="0" applyNumberFormat="1" applyFont="1" applyFill="1" applyBorder="1" applyAlignment="1">
      <alignment horizontal="center"/>
    </xf>
    <xf numFmtId="167" fontId="20" fillId="0" borderId="48" xfId="41" applyNumberFormat="1" applyFont="1" applyFill="1" applyBorder="1" applyAlignment="1">
      <alignment horizontal="center"/>
    </xf>
    <xf numFmtId="164" fontId="20" fillId="0" borderId="48" xfId="29" applyFont="1" applyFill="1" applyBorder="1" applyAlignment="1"/>
    <xf numFmtId="170" fontId="27" fillId="0" borderId="48" xfId="0" applyNumberFormat="1" applyFont="1" applyFill="1" applyBorder="1" applyAlignment="1">
      <alignment horizontal="center"/>
    </xf>
    <xf numFmtId="169" fontId="27" fillId="0" borderId="48" xfId="0" applyNumberFormat="1" applyFont="1" applyFill="1" applyBorder="1" applyAlignment="1">
      <alignment horizontal="center"/>
    </xf>
    <xf numFmtId="16" fontId="28" fillId="0" borderId="48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left"/>
    </xf>
    <xf numFmtId="15" fontId="27" fillId="0" borderId="48" xfId="0" applyNumberFormat="1" applyFont="1" applyFill="1" applyBorder="1" applyAlignment="1">
      <alignment horizontal="center"/>
    </xf>
    <xf numFmtId="167" fontId="27" fillId="0" borderId="48" xfId="41" applyNumberFormat="1" applyFont="1" applyFill="1" applyBorder="1" applyAlignment="1">
      <alignment horizontal="center"/>
    </xf>
    <xf numFmtId="164" fontId="27" fillId="0" borderId="48" xfId="29" applyFont="1" applyFill="1" applyBorder="1" applyAlignment="1"/>
    <xf numFmtId="170" fontId="24" fillId="0" borderId="47" xfId="0" applyNumberFormat="1" applyFont="1" applyFill="1" applyBorder="1" applyAlignment="1">
      <alignment horizontal="center"/>
    </xf>
    <xf numFmtId="168" fontId="20" fillId="0" borderId="0" xfId="28" applyNumberFormat="1" applyFont="1" applyFill="1"/>
    <xf numFmtId="168" fontId="20" fillId="0" borderId="0" xfId="0" applyNumberFormat="1" applyFont="1" applyFill="1"/>
    <xf numFmtId="166" fontId="20" fillId="0" borderId="53" xfId="29" applyNumberFormat="1" applyFont="1" applyFill="1" applyBorder="1" applyAlignment="1">
      <alignment horizontal="center"/>
    </xf>
    <xf numFmtId="168" fontId="20" fillId="0" borderId="47" xfId="28" applyNumberFormat="1" applyFont="1" applyFill="1" applyBorder="1" applyAlignment="1"/>
    <xf numFmtId="168" fontId="20" fillId="0" borderId="47" xfId="28" applyNumberFormat="1" applyFont="1" applyFill="1" applyBorder="1" applyAlignment="1">
      <alignment horizontal="center"/>
    </xf>
    <xf numFmtId="168" fontId="20" fillId="0" borderId="57" xfId="28" quotePrefix="1" applyNumberFormat="1" applyFont="1" applyFill="1" applyBorder="1" applyAlignment="1"/>
    <xf numFmtId="168" fontId="20" fillId="0" borderId="47" xfId="28" quotePrefix="1" applyNumberFormat="1" applyFont="1" applyFill="1" applyBorder="1" applyAlignment="1"/>
    <xf numFmtId="43" fontId="20" fillId="0" borderId="0" xfId="0" applyNumberFormat="1" applyFont="1" applyFill="1"/>
    <xf numFmtId="171" fontId="20" fillId="0" borderId="0" xfId="0" applyNumberFormat="1" applyFont="1" applyFill="1"/>
    <xf numFmtId="168" fontId="20" fillId="0" borderId="58" xfId="28" quotePrefix="1" applyNumberFormat="1" applyFont="1" applyFill="1" applyBorder="1" applyAlignment="1"/>
    <xf numFmtId="170" fontId="20" fillId="0" borderId="58" xfId="0" applyNumberFormat="1" applyFont="1" applyFill="1" applyBorder="1" applyAlignment="1">
      <alignment horizontal="center"/>
    </xf>
    <xf numFmtId="170" fontId="24" fillId="0" borderId="58" xfId="0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left"/>
    </xf>
    <xf numFmtId="15" fontId="20" fillId="0" borderId="58" xfId="0" applyNumberFormat="1" applyFont="1" applyFill="1" applyBorder="1" applyAlignment="1">
      <alignment horizontal="center"/>
    </xf>
    <xf numFmtId="167" fontId="20" fillId="0" borderId="58" xfId="41" applyNumberFormat="1" applyFont="1" applyFill="1" applyBorder="1" applyAlignment="1">
      <alignment horizontal="center"/>
    </xf>
    <xf numFmtId="167" fontId="20" fillId="0" borderId="58" xfId="0" applyNumberFormat="1" applyFont="1" applyFill="1" applyBorder="1" applyAlignment="1">
      <alignment horizontal="center"/>
    </xf>
    <xf numFmtId="168" fontId="20" fillId="0" borderId="58" xfId="28" applyNumberFormat="1" applyFont="1" applyFill="1" applyBorder="1" applyAlignment="1"/>
    <xf numFmtId="168" fontId="20" fillId="0" borderId="48" xfId="28" quotePrefix="1" applyNumberFormat="1" applyFont="1" applyFill="1" applyBorder="1" applyAlignment="1"/>
    <xf numFmtId="167" fontId="27" fillId="0" borderId="47" xfId="41" applyNumberFormat="1" applyFont="1" applyFill="1" applyBorder="1" applyAlignment="1">
      <alignment horizontal="center"/>
    </xf>
    <xf numFmtId="0" fontId="20" fillId="0" borderId="59" xfId="0" applyFont="1" applyFill="1" applyBorder="1" applyAlignment="1">
      <alignment horizontal="left"/>
    </xf>
    <xf numFmtId="164" fontId="20" fillId="0" borderId="59" xfId="29" quotePrefix="1" applyFont="1" applyFill="1" applyBorder="1" applyAlignment="1"/>
    <xf numFmtId="169" fontId="20" fillId="0" borderId="23" xfId="0" applyNumberFormat="1" applyFont="1" applyFill="1" applyBorder="1" applyAlignment="1">
      <alignment horizontal="center"/>
    </xf>
    <xf numFmtId="169" fontId="20" fillId="0" borderId="27" xfId="0" applyNumberFormat="1" applyFont="1" applyFill="1" applyBorder="1" applyAlignment="1">
      <alignment horizontal="center" vertical="center" wrapText="1"/>
    </xf>
    <xf numFmtId="169" fontId="20" fillId="0" borderId="23" xfId="0" applyNumberFormat="1" applyFont="1" applyFill="1" applyBorder="1" applyAlignment="1">
      <alignment horizontal="center" vertical="center" wrapText="1"/>
    </xf>
    <xf numFmtId="169" fontId="20" fillId="0" borderId="26" xfId="0" applyNumberFormat="1" applyFont="1" applyFill="1" applyBorder="1" applyAlignment="1">
      <alignment horizontal="center" vertical="center" wrapText="1"/>
    </xf>
    <xf numFmtId="169" fontId="20" fillId="0" borderId="15" xfId="0" applyNumberFormat="1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0" borderId="49" xfId="0" applyNumberFormat="1" applyFont="1" applyFill="1" applyBorder="1" applyAlignment="1">
      <alignment horizontal="center"/>
    </xf>
    <xf numFmtId="0" fontId="19" fillId="0" borderId="50" xfId="0" applyNumberFormat="1" applyFont="1" applyFill="1" applyBorder="1" applyAlignment="1">
      <alignment horizontal="center"/>
    </xf>
    <xf numFmtId="0" fontId="19" fillId="0" borderId="51" xfId="0" applyNumberFormat="1" applyFont="1" applyFill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0" borderId="27" xfId="0" applyNumberFormat="1" applyFont="1" applyFill="1" applyBorder="1" applyAlignment="1">
      <alignment horizontal="center"/>
    </xf>
    <xf numFmtId="0" fontId="19" fillId="0" borderId="33" xfId="0" applyNumberFormat="1" applyFont="1" applyFill="1" applyBorder="1" applyAlignment="1">
      <alignment horizontal="center"/>
    </xf>
    <xf numFmtId="0" fontId="19" fillId="0" borderId="31" xfId="0" applyNumberFormat="1" applyFont="1" applyFill="1" applyBorder="1" applyAlignment="1">
      <alignment horizontal="center"/>
    </xf>
    <xf numFmtId="0" fontId="19" fillId="0" borderId="54" xfId="0" applyNumberFormat="1" applyFont="1" applyFill="1" applyBorder="1" applyAlignment="1">
      <alignment horizontal="center"/>
    </xf>
    <xf numFmtId="0" fontId="19" fillId="0" borderId="55" xfId="0" applyNumberFormat="1" applyFont="1" applyFill="1" applyBorder="1" applyAlignment="1">
      <alignment horizontal="center"/>
    </xf>
    <xf numFmtId="0" fontId="19" fillId="0" borderId="56" xfId="0" applyNumberFormat="1" applyFont="1" applyFill="1" applyBorder="1" applyAlignment="1">
      <alignment horizontal="center"/>
    </xf>
    <xf numFmtId="16" fontId="24" fillId="0" borderId="58" xfId="0" applyNumberFormat="1" applyFont="1" applyFill="1" applyBorder="1" applyAlignment="1">
      <alignment horizontal="center" vertical="top"/>
    </xf>
    <xf numFmtId="16" fontId="24" fillId="0" borderId="47" xfId="0" applyNumberFormat="1" applyFont="1" applyFill="1" applyBorder="1" applyAlignment="1">
      <alignment horizontal="center" vertical="top"/>
    </xf>
    <xf numFmtId="16" fontId="24" fillId="0" borderId="59" xfId="0" applyNumberFormat="1" applyFont="1" applyFill="1" applyBorder="1" applyAlignment="1">
      <alignment horizontal="center" vertical="top"/>
    </xf>
    <xf numFmtId="170" fontId="20" fillId="0" borderId="58" xfId="0" applyNumberFormat="1" applyFont="1" applyFill="1" applyBorder="1" applyAlignment="1">
      <alignment horizontal="center" vertical="top"/>
    </xf>
    <xf numFmtId="170" fontId="20" fillId="0" borderId="47" xfId="0" applyNumberFormat="1" applyFont="1" applyFill="1" applyBorder="1" applyAlignment="1">
      <alignment horizontal="center" vertical="top"/>
    </xf>
    <xf numFmtId="170" fontId="20" fillId="0" borderId="59" xfId="0" applyNumberFormat="1" applyFont="1" applyFill="1" applyBorder="1" applyAlignment="1">
      <alignment horizontal="center" vertical="top"/>
    </xf>
    <xf numFmtId="0" fontId="20" fillId="0" borderId="35" xfId="0" applyFont="1" applyBorder="1" applyAlignment="1">
      <alignment horizontal="right"/>
    </xf>
    <xf numFmtId="0" fontId="19" fillId="0" borderId="40" xfId="0" applyNumberFormat="1" applyFont="1" applyFill="1" applyBorder="1" applyAlignment="1">
      <alignment horizontal="center"/>
    </xf>
    <xf numFmtId="164" fontId="20" fillId="0" borderId="58" xfId="29" applyFont="1" applyFill="1" applyBorder="1" applyAlignment="1"/>
    <xf numFmtId="164" fontId="20" fillId="0" borderId="58" xfId="29" quotePrefix="1" applyFont="1" applyFill="1" applyBorder="1" applyAlignment="1"/>
    <xf numFmtId="166" fontId="20" fillId="0" borderId="58" xfId="29" applyNumberFormat="1" applyFont="1" applyFill="1" applyBorder="1" applyAlignment="1">
      <alignment horizontal="center"/>
    </xf>
    <xf numFmtId="167" fontId="20" fillId="0" borderId="58" xfId="29" applyNumberFormat="1" applyFont="1" applyFill="1" applyBorder="1" applyAlignment="1">
      <alignment horizontal="center"/>
    </xf>
    <xf numFmtId="167" fontId="20" fillId="0" borderId="59" xfId="0" applyNumberFormat="1" applyFont="1" applyFill="1" applyBorder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/>
    <cellStyle name="Normal 2 2" xfId="47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on22c2\1bonds_job\debtproject\Apr03\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on22c2\1bonds_job\Documents%20and%20Settings\Administrator\My%20Documents\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on22c2\RATING-AGENC\Documents%20and%20Settings\Administrator\My%20Documents\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L_1b"/>
      <sheetName val="CFL_1c"/>
      <sheetName val="Kalender"/>
      <sheetName val="SummBB"/>
      <sheetName val="CF_1b"/>
      <sheetName val="CF_1c"/>
      <sheetName val="Summary"/>
      <sheetName val="BB_1b"/>
      <sheetName val="BB_1c"/>
      <sheetName val="Outsanding"/>
      <sheetName val="Tabel penerimaan dan wjb pjk"/>
      <sheetName val="Tabel dan Graf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WA yield Graph"/>
      <sheetName val="Yield Curve"/>
      <sheetName val="July Calculation "/>
      <sheetName val="July sort by bond"/>
      <sheetName val="July sort by seller"/>
      <sheetName val="July sort by buyer"/>
      <sheetName val="July sort by name"/>
      <sheetName val="June Calculation "/>
      <sheetName val="May Calculation"/>
      <sheetName val="April Calculation"/>
      <sheetName val="March FR Calculation"/>
      <sheetName val="February FR Calculation"/>
      <sheetName val="January Calculation"/>
      <sheetName val="Bond Data"/>
      <sheetName val="WA_yield_Graph"/>
      <sheetName val="Yield_Curve"/>
      <sheetName val="July_Calculation_"/>
      <sheetName val="July_sort_by_bond"/>
      <sheetName val="July_sort_by_seller"/>
      <sheetName val="July_sort_by_buyer"/>
      <sheetName val="July_sort_by_name"/>
      <sheetName val="June_Calculation_"/>
      <sheetName val="May_Calculation"/>
      <sheetName val="April_Calculation"/>
      <sheetName val="March_FR_Calculation"/>
      <sheetName val="February_FR_Calculation"/>
      <sheetName val="January_Calculation"/>
      <sheetName val="Bond_Data"/>
      <sheetName val="Page 51"/>
      <sheetName val="Page 5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A4" t="str">
            <v>FR0001</v>
          </cell>
          <cell r="B4">
            <v>38245</v>
          </cell>
          <cell r="C4">
            <v>0.12</v>
          </cell>
        </row>
        <row r="5">
          <cell r="A5" t="str">
            <v>FR0002</v>
          </cell>
          <cell r="B5">
            <v>39979</v>
          </cell>
          <cell r="C5">
            <v>0.14000000000000001</v>
          </cell>
        </row>
        <row r="6">
          <cell r="A6" t="str">
            <v>FR0003</v>
          </cell>
          <cell r="B6">
            <v>38487</v>
          </cell>
          <cell r="C6">
            <v>0.12</v>
          </cell>
        </row>
        <row r="7">
          <cell r="A7" t="str">
            <v>FR0004</v>
          </cell>
          <cell r="B7">
            <v>38763</v>
          </cell>
          <cell r="C7">
            <v>0.12125</v>
          </cell>
        </row>
        <row r="8">
          <cell r="A8" t="str">
            <v>FR0005</v>
          </cell>
          <cell r="B8">
            <v>39278</v>
          </cell>
          <cell r="C8">
            <v>0.1225</v>
          </cell>
        </row>
        <row r="9">
          <cell r="A9" t="str">
            <v>FR0006</v>
          </cell>
          <cell r="B9">
            <v>38245</v>
          </cell>
          <cell r="C9">
            <v>0.16500000000000001</v>
          </cell>
        </row>
        <row r="10">
          <cell r="A10" t="str">
            <v>FR0007</v>
          </cell>
          <cell r="B10">
            <v>38245</v>
          </cell>
          <cell r="C10">
            <v>0.1</v>
          </cell>
        </row>
        <row r="11">
          <cell r="A11" t="str">
            <v>FR0008</v>
          </cell>
          <cell r="B11">
            <v>38487</v>
          </cell>
          <cell r="C11">
            <v>0.16500000000000001</v>
          </cell>
        </row>
        <row r="12">
          <cell r="A12" t="str">
            <v>FR0009</v>
          </cell>
          <cell r="B12">
            <v>38487</v>
          </cell>
          <cell r="C12">
            <v>0.1</v>
          </cell>
        </row>
        <row r="13">
          <cell r="A13" t="str">
            <v>VR0001</v>
          </cell>
          <cell r="B13">
            <v>37462</v>
          </cell>
          <cell r="C13">
            <v>0.1579923</v>
          </cell>
        </row>
        <row r="14">
          <cell r="A14" t="str">
            <v>VR0002</v>
          </cell>
          <cell r="B14">
            <v>37677</v>
          </cell>
          <cell r="C14">
            <v>0.1579923</v>
          </cell>
        </row>
        <row r="15">
          <cell r="A15" t="str">
            <v>VR0003</v>
          </cell>
          <cell r="B15">
            <v>37797</v>
          </cell>
          <cell r="C15">
            <v>0.1627699</v>
          </cell>
        </row>
        <row r="16">
          <cell r="A16" t="str">
            <v>VR0004</v>
          </cell>
          <cell r="B16">
            <v>38011</v>
          </cell>
          <cell r="C16">
            <v>0.1579923</v>
          </cell>
        </row>
        <row r="17">
          <cell r="A17" t="str">
            <v>VR0005</v>
          </cell>
          <cell r="B17">
            <v>38132</v>
          </cell>
          <cell r="C17">
            <v>0.1579923</v>
          </cell>
        </row>
        <row r="18">
          <cell r="A18" t="str">
            <v>VR0006</v>
          </cell>
          <cell r="B18">
            <v>38346</v>
          </cell>
          <cell r="C18">
            <v>0.1627699</v>
          </cell>
        </row>
        <row r="19">
          <cell r="A19" t="str">
            <v>VR0007</v>
          </cell>
          <cell r="B19">
            <v>38467</v>
          </cell>
          <cell r="C19">
            <v>0.1579923</v>
          </cell>
        </row>
        <row r="20">
          <cell r="A20" t="str">
            <v>VR0008</v>
          </cell>
          <cell r="B20">
            <v>38681</v>
          </cell>
          <cell r="C20">
            <v>0.1579923</v>
          </cell>
        </row>
        <row r="21">
          <cell r="A21" t="str">
            <v>VR0009</v>
          </cell>
          <cell r="B21">
            <v>38801</v>
          </cell>
          <cell r="C21">
            <v>0.1627699</v>
          </cell>
        </row>
        <row r="22">
          <cell r="A22" t="str">
            <v>VR0010</v>
          </cell>
          <cell r="B22">
            <v>39015</v>
          </cell>
          <cell r="C22">
            <v>0.1579923</v>
          </cell>
        </row>
        <row r="23">
          <cell r="A23" t="str">
            <v>VR0011</v>
          </cell>
          <cell r="B23">
            <v>39138</v>
          </cell>
          <cell r="C23">
            <v>0.1579923</v>
          </cell>
        </row>
        <row r="24">
          <cell r="A24" t="str">
            <v>VR0012</v>
          </cell>
          <cell r="B24">
            <v>39350</v>
          </cell>
          <cell r="C24">
            <v>0.1627699</v>
          </cell>
        </row>
        <row r="25">
          <cell r="A25" t="str">
            <v>VR0013</v>
          </cell>
          <cell r="B25">
            <v>39472</v>
          </cell>
          <cell r="C25">
            <v>0.1579923</v>
          </cell>
        </row>
        <row r="26">
          <cell r="A26" t="str">
            <v>VR0014</v>
          </cell>
          <cell r="B26">
            <v>39685</v>
          </cell>
          <cell r="C26">
            <v>0.1579923</v>
          </cell>
        </row>
        <row r="27">
          <cell r="A27" t="str">
            <v>VR0015</v>
          </cell>
          <cell r="B27">
            <v>39807</v>
          </cell>
          <cell r="C27">
            <v>0.1627699</v>
          </cell>
        </row>
        <row r="28">
          <cell r="A28" t="str">
            <v>VR0016</v>
          </cell>
          <cell r="B28">
            <v>40019</v>
          </cell>
          <cell r="C28">
            <v>0.1579923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WA yield Graph"/>
      <sheetName val="Yield Curve"/>
      <sheetName val="July Calculation "/>
      <sheetName val="July sort by bond"/>
      <sheetName val="July sort by seller"/>
      <sheetName val="July sort by buyer"/>
      <sheetName val="July sort by name"/>
      <sheetName val="June Calculation "/>
      <sheetName val="May Calculation"/>
      <sheetName val="April Calculation"/>
      <sheetName val="March FR Calculation"/>
      <sheetName val="February FR Calculation"/>
      <sheetName val="January Calculation"/>
      <sheetName val="Bond Data"/>
      <sheetName val="WA_yield_Graph"/>
      <sheetName val="Yield_Curve"/>
      <sheetName val="July_Calculation_"/>
      <sheetName val="July_sort_by_bond"/>
      <sheetName val="July_sort_by_seller"/>
      <sheetName val="July_sort_by_buyer"/>
      <sheetName val="July_sort_by_name"/>
      <sheetName val="June_Calculation_"/>
      <sheetName val="May_Calculation"/>
      <sheetName val="April_Calculation"/>
      <sheetName val="March_FR_Calculation"/>
      <sheetName val="February_FR_Calculation"/>
      <sheetName val="January_Calculation"/>
      <sheetName val="Bon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A4" t="str">
            <v>FR0001</v>
          </cell>
          <cell r="B4">
            <v>38245</v>
          </cell>
          <cell r="C4">
            <v>0.12</v>
          </cell>
        </row>
        <row r="5">
          <cell r="A5" t="str">
            <v>FR0002</v>
          </cell>
          <cell r="B5">
            <v>39979</v>
          </cell>
          <cell r="C5">
            <v>0.14000000000000001</v>
          </cell>
        </row>
        <row r="6">
          <cell r="A6" t="str">
            <v>FR0003</v>
          </cell>
          <cell r="B6">
            <v>38487</v>
          </cell>
          <cell r="C6">
            <v>0.12</v>
          </cell>
        </row>
        <row r="7">
          <cell r="A7" t="str">
            <v>FR0004</v>
          </cell>
          <cell r="B7">
            <v>38763</v>
          </cell>
          <cell r="C7">
            <v>0.12125</v>
          </cell>
        </row>
        <row r="8">
          <cell r="A8" t="str">
            <v>FR0005</v>
          </cell>
          <cell r="B8">
            <v>39278</v>
          </cell>
          <cell r="C8">
            <v>0.1225</v>
          </cell>
        </row>
        <row r="9">
          <cell r="A9" t="str">
            <v>FR0006</v>
          </cell>
          <cell r="B9">
            <v>38245</v>
          </cell>
          <cell r="C9">
            <v>0.16500000000000001</v>
          </cell>
        </row>
        <row r="10">
          <cell r="A10" t="str">
            <v>FR0007</v>
          </cell>
          <cell r="B10">
            <v>38245</v>
          </cell>
          <cell r="C10">
            <v>0.1</v>
          </cell>
        </row>
        <row r="11">
          <cell r="A11" t="str">
            <v>FR0008</v>
          </cell>
          <cell r="B11">
            <v>38487</v>
          </cell>
          <cell r="C11">
            <v>0.16500000000000001</v>
          </cell>
        </row>
        <row r="12">
          <cell r="A12" t="str">
            <v>FR0009</v>
          </cell>
          <cell r="B12">
            <v>38487</v>
          </cell>
          <cell r="C12">
            <v>0.1</v>
          </cell>
        </row>
        <row r="13">
          <cell r="A13" t="str">
            <v>VR0001</v>
          </cell>
          <cell r="B13">
            <v>37462</v>
          </cell>
          <cell r="C13">
            <v>0.1579923</v>
          </cell>
        </row>
        <row r="14">
          <cell r="A14" t="str">
            <v>VR0002</v>
          </cell>
          <cell r="B14">
            <v>37677</v>
          </cell>
          <cell r="C14">
            <v>0.1579923</v>
          </cell>
        </row>
        <row r="15">
          <cell r="A15" t="str">
            <v>VR0003</v>
          </cell>
          <cell r="B15">
            <v>37797</v>
          </cell>
          <cell r="C15">
            <v>0.1627699</v>
          </cell>
        </row>
        <row r="16">
          <cell r="A16" t="str">
            <v>VR0004</v>
          </cell>
          <cell r="B16">
            <v>38011</v>
          </cell>
          <cell r="C16">
            <v>0.1579923</v>
          </cell>
        </row>
        <row r="17">
          <cell r="A17" t="str">
            <v>VR0005</v>
          </cell>
          <cell r="B17">
            <v>38132</v>
          </cell>
          <cell r="C17">
            <v>0.1579923</v>
          </cell>
        </row>
        <row r="18">
          <cell r="A18" t="str">
            <v>VR0006</v>
          </cell>
          <cell r="B18">
            <v>38346</v>
          </cell>
          <cell r="C18">
            <v>0.1627699</v>
          </cell>
        </row>
        <row r="19">
          <cell r="A19" t="str">
            <v>VR0007</v>
          </cell>
          <cell r="B19">
            <v>38467</v>
          </cell>
          <cell r="C19">
            <v>0.1579923</v>
          </cell>
        </row>
        <row r="20">
          <cell r="A20" t="str">
            <v>VR0008</v>
          </cell>
          <cell r="B20">
            <v>38681</v>
          </cell>
          <cell r="C20">
            <v>0.1579923</v>
          </cell>
        </row>
        <row r="21">
          <cell r="A21" t="str">
            <v>VR0009</v>
          </cell>
          <cell r="B21">
            <v>38801</v>
          </cell>
          <cell r="C21">
            <v>0.1627699</v>
          </cell>
        </row>
        <row r="22">
          <cell r="A22" t="str">
            <v>VR0010</v>
          </cell>
          <cell r="B22">
            <v>39015</v>
          </cell>
          <cell r="C22">
            <v>0.1579923</v>
          </cell>
        </row>
        <row r="23">
          <cell r="A23" t="str">
            <v>VR0011</v>
          </cell>
          <cell r="B23">
            <v>39138</v>
          </cell>
          <cell r="C23">
            <v>0.1579923</v>
          </cell>
        </row>
        <row r="24">
          <cell r="A24" t="str">
            <v>VR0012</v>
          </cell>
          <cell r="B24">
            <v>39350</v>
          </cell>
          <cell r="C24">
            <v>0.1627699</v>
          </cell>
        </row>
        <row r="25">
          <cell r="A25" t="str">
            <v>VR0013</v>
          </cell>
          <cell r="B25">
            <v>39472</v>
          </cell>
          <cell r="C25">
            <v>0.1579923</v>
          </cell>
        </row>
        <row r="26">
          <cell r="A26" t="str">
            <v>VR0014</v>
          </cell>
          <cell r="B26">
            <v>39685</v>
          </cell>
          <cell r="C26">
            <v>0.1579923</v>
          </cell>
        </row>
        <row r="27">
          <cell r="A27" t="str">
            <v>VR0015</v>
          </cell>
          <cell r="B27">
            <v>39807</v>
          </cell>
          <cell r="C27">
            <v>0.1627699</v>
          </cell>
        </row>
        <row r="28">
          <cell r="A28" t="str">
            <v>VR0016</v>
          </cell>
          <cell r="B28">
            <v>40019</v>
          </cell>
          <cell r="C28">
            <v>0.1579923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RowHeight="11.25" x14ac:dyDescent="0.2"/>
  <cols>
    <col min="1" max="2" width="11.28515625" style="2" customWidth="1"/>
    <col min="3" max="3" width="20.85546875" style="2" customWidth="1"/>
    <col min="4" max="4" width="11.28515625" style="2" customWidth="1"/>
    <col min="5" max="9" width="10.7109375" style="2" customWidth="1"/>
    <col min="10" max="11" width="10.140625" style="2" customWidth="1"/>
    <col min="12" max="12" width="13.5703125" style="2" bestFit="1" customWidth="1"/>
    <col min="13" max="13" width="18.140625" style="2" bestFit="1" customWidth="1"/>
    <col min="14" max="14" width="16.85546875" style="2" customWidth="1"/>
    <col min="15" max="15" width="16" style="2" bestFit="1" customWidth="1"/>
    <col min="16" max="16" width="10.85546875" style="2" customWidth="1"/>
    <col min="17" max="17" width="11.42578125" style="2" bestFit="1" customWidth="1"/>
    <col min="18" max="18" width="10" style="2" customWidth="1"/>
    <col min="19" max="20" width="12" style="2" bestFit="1" customWidth="1"/>
    <col min="21" max="24" width="9.140625" style="2"/>
    <col min="25" max="26" width="10.7109375" style="2" bestFit="1" customWidth="1"/>
    <col min="27" max="28" width="9.85546875" style="2" bestFit="1" customWidth="1"/>
    <col min="29" max="16384" width="9.140625" style="2"/>
  </cols>
  <sheetData>
    <row r="1" spans="1:28" x14ac:dyDescent="0.2">
      <c r="A1" s="1" t="s">
        <v>44</v>
      </c>
      <c r="B1" s="1"/>
    </row>
    <row r="3" spans="1:28" ht="33.75" x14ac:dyDescent="0.2">
      <c r="A3" s="63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3"/>
    </row>
    <row r="4" spans="1:28" ht="9.75" customHeight="1" x14ac:dyDescent="0.2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4"/>
    </row>
    <row r="5" spans="1:28" ht="13.5" customHeight="1" x14ac:dyDescent="0.2">
      <c r="A5" s="16">
        <v>2012</v>
      </c>
      <c r="B5" s="17"/>
      <c r="C5" s="18"/>
      <c r="D5" s="19"/>
      <c r="E5" s="20"/>
      <c r="F5" s="20"/>
      <c r="G5" s="20"/>
      <c r="H5" s="20"/>
      <c r="I5" s="20"/>
      <c r="J5" s="21"/>
      <c r="K5" s="21"/>
      <c r="L5" s="22"/>
      <c r="M5" s="23"/>
      <c r="N5" s="24"/>
      <c r="O5" s="22"/>
      <c r="P5" s="25"/>
      <c r="Q5" s="26"/>
      <c r="R5" s="55"/>
    </row>
    <row r="6" spans="1:28" ht="13.5" customHeight="1" x14ac:dyDescent="0.2">
      <c r="A6" s="60">
        <v>40918</v>
      </c>
      <c r="B6" s="61">
        <v>40920</v>
      </c>
      <c r="C6" s="18" t="s">
        <v>38</v>
      </c>
      <c r="D6" s="19">
        <v>41010</v>
      </c>
      <c r="E6" s="50">
        <v>0</v>
      </c>
      <c r="F6" s="27">
        <v>3.8124999999999999E-2</v>
      </c>
      <c r="G6" s="27">
        <v>4.2510300000000001E-2</v>
      </c>
      <c r="H6" s="27">
        <v>4.6249999999999999E-2</v>
      </c>
      <c r="I6" s="27">
        <v>3.8124999999999999E-2</v>
      </c>
      <c r="J6" s="28">
        <v>3.8699999999999998E-2</v>
      </c>
      <c r="K6" s="28">
        <v>3.9375E-2</v>
      </c>
      <c r="L6" s="22">
        <v>7000000</v>
      </c>
      <c r="M6" s="22">
        <v>5340000</v>
      </c>
      <c r="N6" s="22">
        <v>2100000</v>
      </c>
      <c r="O6" s="22">
        <v>1000000</v>
      </c>
      <c r="P6" s="46">
        <f>M6/O6</f>
        <v>5.34</v>
      </c>
      <c r="Q6" s="56">
        <v>0.04</v>
      </c>
      <c r="R6" s="56"/>
      <c r="S6" s="57">
        <f>O6*J6/$R$10</f>
        <v>39656643.565745413</v>
      </c>
      <c r="T6" s="57"/>
      <c r="Y6" s="39">
        <f>SUM(O6:O127)</f>
        <v>169717805</v>
      </c>
      <c r="Z6" s="39">
        <f>Y6-SUM(O11,O78,O80)</f>
        <v>169717805</v>
      </c>
      <c r="AA6" s="39">
        <f>SUM(O6:O63)</f>
        <v>98372805</v>
      </c>
      <c r="AB6" s="39">
        <f>Z6-AA6</f>
        <v>71345000</v>
      </c>
    </row>
    <row r="7" spans="1:28" ht="13.5" customHeight="1" x14ac:dyDescent="0.2">
      <c r="A7" s="60"/>
      <c r="B7" s="88"/>
      <c r="C7" s="18" t="s">
        <v>37</v>
      </c>
      <c r="D7" s="19">
        <v>41285</v>
      </c>
      <c r="E7" s="50"/>
      <c r="F7" s="27">
        <v>4.2500000000000003E-2</v>
      </c>
      <c r="G7" s="27">
        <v>4.64795E-2</v>
      </c>
      <c r="H7" s="27">
        <v>5.0937499999999997E-2</v>
      </c>
      <c r="I7" s="27">
        <v>4.2500000000000003E-2</v>
      </c>
      <c r="J7" s="28">
        <v>4.4999999999999998E-2</v>
      </c>
      <c r="K7" s="28">
        <v>4.5312499999999999E-2</v>
      </c>
      <c r="L7" s="22"/>
      <c r="M7" s="22">
        <v>8400000</v>
      </c>
      <c r="N7" s="22">
        <v>2350000</v>
      </c>
      <c r="O7" s="22">
        <v>2350000</v>
      </c>
      <c r="P7" s="46">
        <f>M7/O7</f>
        <v>3.5744680851063828</v>
      </c>
      <c r="Q7" s="56">
        <v>4.4999999999999998E-2</v>
      </c>
      <c r="R7" s="56"/>
      <c r="S7" s="57"/>
      <c r="T7" s="57"/>
      <c r="Z7" s="39">
        <v>270419408</v>
      </c>
    </row>
    <row r="8" spans="1:28" ht="13.5" customHeight="1" x14ac:dyDescent="0.2">
      <c r="A8" s="16"/>
      <c r="B8" s="17"/>
      <c r="C8" s="18" t="s">
        <v>34</v>
      </c>
      <c r="D8" s="19">
        <v>42840</v>
      </c>
      <c r="E8" s="27">
        <v>6.25E-2</v>
      </c>
      <c r="F8" s="27">
        <v>5.3749999999999999E-2</v>
      </c>
      <c r="G8" s="27">
        <v>5.5071799999999997E-2</v>
      </c>
      <c r="H8" s="27">
        <v>5.7500000000000002E-2</v>
      </c>
      <c r="I8" s="27">
        <v>5.3749999999999999E-2</v>
      </c>
      <c r="J8" s="28">
        <v>5.4477200000000003E-2</v>
      </c>
      <c r="K8" s="28">
        <v>5.5E-2</v>
      </c>
      <c r="L8" s="22"/>
      <c r="M8" s="22">
        <v>2001000</v>
      </c>
      <c r="N8" s="22">
        <v>800000</v>
      </c>
      <c r="O8" s="22">
        <v>800000</v>
      </c>
      <c r="P8" s="46">
        <f>M8/O8</f>
        <v>2.5012500000000002</v>
      </c>
      <c r="Q8" s="56">
        <v>5.45E-2</v>
      </c>
      <c r="R8" s="56">
        <f>O8*J8/$O$218</f>
        <v>1.6228675337265212E-4</v>
      </c>
      <c r="S8" s="57">
        <f>O8*J8/$R$10</f>
        <v>44659078.095293567</v>
      </c>
      <c r="T8" s="57"/>
      <c r="Z8" s="102">
        <f>Z6/Z7</f>
        <v>0.62760955752110814</v>
      </c>
      <c r="AA8" s="102">
        <f>AA6/Z7</f>
        <v>0.36377864195309534</v>
      </c>
      <c r="AB8" s="102">
        <f>AB6/Z7</f>
        <v>0.2638309155680128</v>
      </c>
    </row>
    <row r="9" spans="1:28" ht="13.5" customHeight="1" x14ac:dyDescent="0.2">
      <c r="A9" s="16"/>
      <c r="B9" s="17"/>
      <c r="C9" s="18" t="s">
        <v>35</v>
      </c>
      <c r="D9" s="19">
        <v>44696</v>
      </c>
      <c r="E9" s="27">
        <v>7.0000000000000007E-2</v>
      </c>
      <c r="F9" s="27">
        <v>6.1874999999999999E-2</v>
      </c>
      <c r="G9" s="27">
        <v>6.2820100000000004E-2</v>
      </c>
      <c r="H9" s="27">
        <v>6.4687499999999995E-2</v>
      </c>
      <c r="I9" s="27">
        <v>6.1874999999999999E-2</v>
      </c>
      <c r="J9" s="28">
        <v>6.2399799999999998E-2</v>
      </c>
      <c r="K9" s="28">
        <v>6.25E-2</v>
      </c>
      <c r="L9" s="22"/>
      <c r="M9" s="22">
        <v>4642000</v>
      </c>
      <c r="N9" s="22">
        <v>2200000</v>
      </c>
      <c r="O9" s="22">
        <v>2200000</v>
      </c>
      <c r="P9" s="46">
        <f>M9/O9</f>
        <v>2.11</v>
      </c>
      <c r="Q9" s="56">
        <v>6.2399999999999997E-2</v>
      </c>
      <c r="R9" s="56">
        <f>O9*J9/$O$218</f>
        <v>5.1119216151037034E-4</v>
      </c>
      <c r="S9" s="57">
        <f>O9*J9/$R$10</f>
        <v>140673038.23727033</v>
      </c>
      <c r="T9" s="57"/>
    </row>
    <row r="10" spans="1:28" ht="13.5" customHeight="1" x14ac:dyDescent="0.2">
      <c r="A10" s="16"/>
      <c r="B10" s="17"/>
      <c r="C10" s="18" t="s">
        <v>32</v>
      </c>
      <c r="D10" s="19">
        <v>48380</v>
      </c>
      <c r="E10" s="27">
        <v>8.2500000000000004E-2</v>
      </c>
      <c r="F10" s="27">
        <v>7.1249999999999994E-2</v>
      </c>
      <c r="G10" s="27">
        <v>7.21778E-2</v>
      </c>
      <c r="H10" s="27">
        <v>7.8125E-2</v>
      </c>
      <c r="I10" s="27">
        <v>7.1249999999999994E-2</v>
      </c>
      <c r="J10" s="28">
        <v>7.17999E-2</v>
      </c>
      <c r="K10" s="28">
        <v>7.2187500000000002E-2</v>
      </c>
      <c r="L10" s="22"/>
      <c r="M10" s="22">
        <v>7286000</v>
      </c>
      <c r="N10" s="22">
        <v>3650000</v>
      </c>
      <c r="O10" s="22">
        <v>3650000</v>
      </c>
      <c r="P10" s="46">
        <f>M10/O10</f>
        <v>1.9961643835616438</v>
      </c>
      <c r="Q10" s="56">
        <v>7.1800000000000003E-2</v>
      </c>
      <c r="R10" s="56">
        <f>O10*J10/$O$218</f>
        <v>9.7587683979963086E-4</v>
      </c>
      <c r="S10" s="57">
        <f>O10*J10/$R$10</f>
        <v>268547858</v>
      </c>
      <c r="T10" s="62">
        <f>SUM(S6:S10)</f>
        <v>493536617.89830929</v>
      </c>
    </row>
    <row r="11" spans="1:28" s="71" customFormat="1" ht="13.5" customHeight="1" x14ac:dyDescent="0.2">
      <c r="A11" s="76">
        <v>40918</v>
      </c>
      <c r="B11" s="72">
        <v>40925</v>
      </c>
      <c r="C11" s="77" t="s">
        <v>39</v>
      </c>
      <c r="D11" s="78">
        <v>51883</v>
      </c>
      <c r="E11" s="79">
        <v>5.2499999999999998E-2</v>
      </c>
      <c r="F11" s="80"/>
      <c r="G11" s="80"/>
      <c r="H11" s="80"/>
      <c r="I11" s="80"/>
      <c r="J11" s="81"/>
      <c r="K11" s="81"/>
      <c r="L11" s="82">
        <v>22630000</v>
      </c>
      <c r="M11" s="83" t="s">
        <v>41</v>
      </c>
      <c r="N11" s="83" t="s">
        <v>40</v>
      </c>
      <c r="O11" s="83" t="s">
        <v>40</v>
      </c>
      <c r="P11" s="84"/>
      <c r="Q11" s="85"/>
      <c r="R11" s="56"/>
      <c r="U11" s="71">
        <f>3600*U12</f>
        <v>32976000</v>
      </c>
      <c r="V11" s="71">
        <f>U12*1750</f>
        <v>16030000</v>
      </c>
      <c r="W11" s="71">
        <f>U12*1750</f>
        <v>16030000</v>
      </c>
    </row>
    <row r="12" spans="1:28" s="71" customFormat="1" ht="13.5" customHeight="1" x14ac:dyDescent="0.2">
      <c r="A12" s="73"/>
      <c r="B12" s="74"/>
      <c r="C12" s="64"/>
      <c r="D12" s="65"/>
      <c r="E12" s="75"/>
      <c r="F12" s="66"/>
      <c r="G12" s="66"/>
      <c r="H12" s="66"/>
      <c r="I12" s="66"/>
      <c r="J12" s="67"/>
      <c r="K12" s="67"/>
      <c r="L12" s="68"/>
      <c r="M12" s="68">
        <f>U11</f>
        <v>32976000</v>
      </c>
      <c r="N12" s="68">
        <f>V11</f>
        <v>16030000</v>
      </c>
      <c r="O12" s="68">
        <f>W11</f>
        <v>16030000</v>
      </c>
      <c r="P12" s="69">
        <f t="shared" ref="P12:P17" si="0">M12/O12</f>
        <v>2.0571428571428569</v>
      </c>
      <c r="Q12" s="70"/>
      <c r="R12" s="56">
        <f>O12*J12/$O$218</f>
        <v>0</v>
      </c>
      <c r="U12" s="71">
        <v>9160</v>
      </c>
      <c r="Y12" s="71">
        <v>2009</v>
      </c>
      <c r="Z12" s="71">
        <v>29.73</v>
      </c>
      <c r="AA12" s="71">
        <v>30.35</v>
      </c>
      <c r="AB12" s="71">
        <f>Z12+AA12</f>
        <v>60.08</v>
      </c>
    </row>
    <row r="13" spans="1:28" ht="13.5" customHeight="1" x14ac:dyDescent="0.2">
      <c r="A13" s="89">
        <v>40934</v>
      </c>
      <c r="B13" s="90">
        <v>40938</v>
      </c>
      <c r="C13" s="91" t="s">
        <v>42</v>
      </c>
      <c r="D13" s="92">
        <v>41028</v>
      </c>
      <c r="E13" s="93">
        <v>0</v>
      </c>
      <c r="F13" s="94">
        <v>1.7500000000000002E-2</v>
      </c>
      <c r="G13" s="94">
        <v>2.8961600000000001E-2</v>
      </c>
      <c r="H13" s="94">
        <v>4.6875E-2</v>
      </c>
      <c r="I13" s="94">
        <v>1.7500000000000002E-2</v>
      </c>
      <c r="J13" s="95">
        <v>1.92383E-2</v>
      </c>
      <c r="K13" s="95">
        <v>2.1874999999999999E-2</v>
      </c>
      <c r="L13" s="96">
        <v>7000000</v>
      </c>
      <c r="M13" s="96">
        <v>12480000</v>
      </c>
      <c r="N13" s="96">
        <v>10550000</v>
      </c>
      <c r="O13" s="96">
        <v>800000</v>
      </c>
      <c r="P13" s="97">
        <f t="shared" si="0"/>
        <v>15.6</v>
      </c>
      <c r="Q13" s="98">
        <v>2.75E-2</v>
      </c>
      <c r="R13" s="56"/>
      <c r="S13" s="57">
        <f>O13*J13/$R$10</f>
        <v>15771088.494281758</v>
      </c>
      <c r="T13" s="57"/>
      <c r="Y13" s="2">
        <v>2010</v>
      </c>
      <c r="Z13" s="2">
        <v>34.630000000000003</v>
      </c>
      <c r="AA13" s="2">
        <v>35.58</v>
      </c>
      <c r="AB13" s="71">
        <f>Z13+AA13</f>
        <v>70.210000000000008</v>
      </c>
    </row>
    <row r="14" spans="1:28" ht="13.5" customHeight="1" x14ac:dyDescent="0.2">
      <c r="A14" s="100"/>
      <c r="B14" s="99"/>
      <c r="C14" s="91" t="s">
        <v>37</v>
      </c>
      <c r="D14" s="92">
        <v>41285</v>
      </c>
      <c r="E14" s="93">
        <v>0</v>
      </c>
      <c r="F14" s="94">
        <v>3.3750000000000002E-2</v>
      </c>
      <c r="G14" s="94">
        <v>3.8882899999999998E-2</v>
      </c>
      <c r="H14" s="94">
        <v>4.2500000000000003E-2</v>
      </c>
      <c r="I14" s="94">
        <v>3.3750000000000002E-2</v>
      </c>
      <c r="J14" s="95">
        <v>3.3750000000000002E-2</v>
      </c>
      <c r="K14" s="95">
        <v>3.3750000000000002E-2</v>
      </c>
      <c r="L14" s="96"/>
      <c r="M14" s="96">
        <v>12295000</v>
      </c>
      <c r="N14" s="96">
        <v>2000000</v>
      </c>
      <c r="O14" s="96">
        <v>1000000</v>
      </c>
      <c r="P14" s="97">
        <f t="shared" si="0"/>
        <v>12.295</v>
      </c>
      <c r="Q14" s="98">
        <v>3.5000000000000003E-2</v>
      </c>
      <c r="R14" s="56"/>
      <c r="S14" s="57"/>
      <c r="T14" s="57"/>
      <c r="Y14" s="71">
        <v>2011</v>
      </c>
      <c r="Z14" s="2">
        <v>29.53</v>
      </c>
      <c r="AA14" s="2">
        <v>25.94</v>
      </c>
      <c r="AB14" s="71">
        <f>Z14+AA14</f>
        <v>55.47</v>
      </c>
    </row>
    <row r="15" spans="1:28" ht="13.5" customHeight="1" x14ac:dyDescent="0.2">
      <c r="A15" s="100"/>
      <c r="B15" s="101"/>
      <c r="C15" s="91" t="s">
        <v>35</v>
      </c>
      <c r="D15" s="92">
        <v>44696</v>
      </c>
      <c r="E15" s="94">
        <v>7.0000000000000007E-2</v>
      </c>
      <c r="F15" s="94">
        <v>5.5E-2</v>
      </c>
      <c r="G15" s="94">
        <v>5.6320200000000001E-2</v>
      </c>
      <c r="H15" s="94">
        <v>5.7500000000000002E-2</v>
      </c>
      <c r="I15" s="94">
        <v>5.5E-2</v>
      </c>
      <c r="J15" s="95">
        <v>5.5782100000000001E-2</v>
      </c>
      <c r="K15" s="95">
        <v>5.5937500000000001E-2</v>
      </c>
      <c r="L15" s="96"/>
      <c r="M15" s="96">
        <v>6109000</v>
      </c>
      <c r="N15" s="96">
        <v>3600000</v>
      </c>
      <c r="O15" s="96">
        <v>2100000</v>
      </c>
      <c r="P15" s="97">
        <f t="shared" si="0"/>
        <v>2.9090476190476191</v>
      </c>
      <c r="Q15" s="98">
        <v>5.6000000000000001E-2</v>
      </c>
      <c r="R15" s="56">
        <f>O15*J15/$O$218</f>
        <v>4.3620683059032256E-4</v>
      </c>
      <c r="S15" s="57">
        <f>O15*J15/$R$10</f>
        <v>120038108.52202614</v>
      </c>
      <c r="T15" s="57"/>
      <c r="Y15" s="2">
        <v>2012</v>
      </c>
      <c r="AB15" s="2">
        <v>62.76</v>
      </c>
    </row>
    <row r="16" spans="1:28" ht="13.5" customHeight="1" x14ac:dyDescent="0.2">
      <c r="A16" s="100"/>
      <c r="B16" s="101"/>
      <c r="C16" s="91" t="s">
        <v>43</v>
      </c>
      <c r="D16" s="92">
        <v>46522</v>
      </c>
      <c r="E16" s="94">
        <v>7.0000000000000007E-2</v>
      </c>
      <c r="F16" s="94">
        <v>6.1249999999999999E-2</v>
      </c>
      <c r="G16" s="94">
        <v>6.2487399999999999E-2</v>
      </c>
      <c r="H16" s="94">
        <v>6.4687499999999995E-2</v>
      </c>
      <c r="I16" s="94">
        <v>6.1249999999999999E-2</v>
      </c>
      <c r="J16" s="95">
        <v>6.1973399999999998E-2</v>
      </c>
      <c r="K16" s="95">
        <v>6.25E-2</v>
      </c>
      <c r="L16" s="96"/>
      <c r="M16" s="96">
        <v>7421000</v>
      </c>
      <c r="N16" s="96">
        <v>3550000</v>
      </c>
      <c r="O16" s="96">
        <v>3400000</v>
      </c>
      <c r="P16" s="97">
        <f t="shared" si="0"/>
        <v>2.1826470588235294</v>
      </c>
      <c r="Q16" s="98">
        <v>6.2E-2</v>
      </c>
      <c r="R16" s="56">
        <f>O16*J16/$O$218</f>
        <v>7.8462573326501821E-4</v>
      </c>
      <c r="S16" s="57">
        <f>O16*J16/$R$10</f>
        <v>215918189.06498832</v>
      </c>
      <c r="T16" s="57"/>
      <c r="Y16" s="71">
        <v>2013</v>
      </c>
      <c r="AB16" s="2">
        <f>AVERAGE(AB12:AB15)</f>
        <v>62.13</v>
      </c>
    </row>
    <row r="17" spans="1:20" ht="13.5" customHeight="1" x14ac:dyDescent="0.2">
      <c r="A17" s="100"/>
      <c r="B17" s="101"/>
      <c r="C17" s="91" t="s">
        <v>32</v>
      </c>
      <c r="D17" s="92">
        <v>48380</v>
      </c>
      <c r="E17" s="94">
        <v>8.2500000000000004E-2</v>
      </c>
      <c r="F17" s="94">
        <v>5.7500000000000002E-2</v>
      </c>
      <c r="G17" s="94">
        <v>6.7082199999999995E-2</v>
      </c>
      <c r="H17" s="94">
        <v>6.8750000000000006E-2</v>
      </c>
      <c r="I17" s="94">
        <v>5.7500000000000002E-2</v>
      </c>
      <c r="J17" s="95">
        <v>6.64907E-2</v>
      </c>
      <c r="K17" s="95">
        <v>6.6562499999999997E-2</v>
      </c>
      <c r="L17" s="96"/>
      <c r="M17" s="96">
        <v>11829500</v>
      </c>
      <c r="N17" s="96">
        <v>5300000</v>
      </c>
      <c r="O17" s="96">
        <v>3200000</v>
      </c>
      <c r="P17" s="97">
        <f t="shared" si="0"/>
        <v>3.6967187500000001</v>
      </c>
      <c r="Q17" s="98">
        <v>6.6600000000000006E-2</v>
      </c>
      <c r="R17" s="56">
        <f>O17*J17/$O$218</f>
        <v>7.9229915138626799E-4</v>
      </c>
      <c r="S17" s="57">
        <f>O17*J17/$R$10</f>
        <v>218029807.98651439</v>
      </c>
      <c r="T17" s="62">
        <f>SUM(S13:S17)</f>
        <v>569757194.06781054</v>
      </c>
    </row>
    <row r="18" spans="1:20" ht="13.5" customHeight="1" x14ac:dyDescent="0.2">
      <c r="A18" s="60">
        <v>40939</v>
      </c>
      <c r="B18" s="61">
        <v>40941</v>
      </c>
      <c r="C18" s="18" t="s">
        <v>48</v>
      </c>
      <c r="D18" s="19">
        <v>43115</v>
      </c>
      <c r="E18" s="50">
        <v>0</v>
      </c>
      <c r="F18" s="27">
        <v>5.1874999999999998E-2</v>
      </c>
      <c r="G18" s="27"/>
      <c r="H18" s="27">
        <v>6.6250000000000003E-2</v>
      </c>
      <c r="I18" s="27"/>
      <c r="J18" s="28"/>
      <c r="K18" s="28"/>
      <c r="L18" s="22">
        <v>1000000</v>
      </c>
      <c r="M18" s="22">
        <v>573000</v>
      </c>
      <c r="N18" s="22"/>
      <c r="O18" s="22"/>
      <c r="P18" s="46"/>
      <c r="Q18" s="56"/>
      <c r="R18" s="56"/>
      <c r="S18" s="57">
        <f>O18*J18/$R$10</f>
        <v>0</v>
      </c>
      <c r="T18" s="57"/>
    </row>
    <row r="19" spans="1:20" ht="13.5" customHeight="1" x14ac:dyDescent="0.2">
      <c r="A19" s="60"/>
      <c r="B19" s="88"/>
      <c r="C19" s="18" t="s">
        <v>49</v>
      </c>
      <c r="D19" s="19">
        <v>44576</v>
      </c>
      <c r="E19" s="50"/>
      <c r="F19" s="27">
        <v>5.5E-2</v>
      </c>
      <c r="G19" s="27"/>
      <c r="H19" s="27">
        <v>6.5000000000000002E-2</v>
      </c>
      <c r="I19" s="27">
        <v>5.5E-2</v>
      </c>
      <c r="J19" s="28">
        <v>5.5379499999999998E-2</v>
      </c>
      <c r="K19" s="28"/>
      <c r="L19" s="22"/>
      <c r="M19" s="22">
        <v>536000</v>
      </c>
      <c r="N19" s="22">
        <v>415000</v>
      </c>
      <c r="O19" s="22">
        <v>415000</v>
      </c>
      <c r="P19" s="46">
        <f t="shared" ref="P19:P26" si="1">M19/O19</f>
        <v>1.2915662650602409</v>
      </c>
      <c r="Q19" s="56"/>
      <c r="R19" s="56"/>
      <c r="S19" s="57"/>
      <c r="T19" s="57"/>
    </row>
    <row r="20" spans="1:20" ht="13.5" customHeight="1" x14ac:dyDescent="0.2">
      <c r="A20" s="16"/>
      <c r="B20" s="17"/>
      <c r="C20" s="18" t="s">
        <v>50</v>
      </c>
      <c r="D20" s="19">
        <v>46402</v>
      </c>
      <c r="E20" s="27"/>
      <c r="F20" s="27">
        <v>6.0624999999999998E-2</v>
      </c>
      <c r="G20" s="27"/>
      <c r="H20" s="27">
        <v>7.0624999999999993E-2</v>
      </c>
      <c r="I20" s="27">
        <v>6.0624999999999998E-2</v>
      </c>
      <c r="J20" s="28">
        <v>6.2141200000000001E-2</v>
      </c>
      <c r="K20" s="28"/>
      <c r="L20" s="22"/>
      <c r="M20" s="22">
        <v>1391000</v>
      </c>
      <c r="N20" s="22">
        <v>510000</v>
      </c>
      <c r="O20" s="22">
        <v>510000</v>
      </c>
      <c r="P20" s="46">
        <f t="shared" si="1"/>
        <v>2.7274509803921569</v>
      </c>
      <c r="Q20" s="56"/>
      <c r="R20" s="56">
        <f>O20*J20/$O$218</f>
        <v>1.1801252944642738E-4</v>
      </c>
      <c r="S20" s="57">
        <f>O20*J20/$R$10</f>
        <v>32475421.802721612</v>
      </c>
      <c r="T20" s="57"/>
    </row>
    <row r="21" spans="1:20" ht="13.5" customHeight="1" x14ac:dyDescent="0.2">
      <c r="A21" s="16"/>
      <c r="B21" s="17"/>
      <c r="C21" s="18" t="s">
        <v>51</v>
      </c>
      <c r="D21" s="19">
        <v>49720</v>
      </c>
      <c r="E21" s="27">
        <v>0.1</v>
      </c>
      <c r="F21" s="27">
        <v>6.5625000000000003E-2</v>
      </c>
      <c r="G21" s="27"/>
      <c r="H21" s="27">
        <v>7.4999999999999997E-2</v>
      </c>
      <c r="I21" s="27">
        <v>6.5625000000000003E-2</v>
      </c>
      <c r="J21" s="28">
        <v>6.8074800000000005E-2</v>
      </c>
      <c r="K21" s="28"/>
      <c r="L21" s="22"/>
      <c r="M21" s="22">
        <v>1676000</v>
      </c>
      <c r="N21" s="22">
        <v>400000</v>
      </c>
      <c r="O21" s="22">
        <v>400000</v>
      </c>
      <c r="P21" s="46">
        <f t="shared" si="1"/>
        <v>4.1900000000000004</v>
      </c>
      <c r="Q21" s="56"/>
      <c r="R21" s="56">
        <f>O21*J21/$O$218</f>
        <v>1.0139689887230455E-4</v>
      </c>
      <c r="S21" s="57">
        <f>O21*J21/$R$10</f>
        <v>27903029.244541667</v>
      </c>
      <c r="T21" s="57"/>
    </row>
    <row r="22" spans="1:20" ht="13.5" customHeight="1" x14ac:dyDescent="0.2">
      <c r="A22" s="89">
        <v>40946</v>
      </c>
      <c r="B22" s="90">
        <v>40948</v>
      </c>
      <c r="C22" s="91" t="s">
        <v>45</v>
      </c>
      <c r="D22" s="92">
        <v>41037</v>
      </c>
      <c r="E22" s="93">
        <v>0</v>
      </c>
      <c r="F22" s="94">
        <v>1.4999999999999999E-2</v>
      </c>
      <c r="G22" s="94">
        <v>1.99528E-2</v>
      </c>
      <c r="H22" s="94">
        <v>3.2500000000000001E-2</v>
      </c>
      <c r="I22" s="94">
        <v>1.4999999999999999E-2</v>
      </c>
      <c r="J22" s="95">
        <v>1.6862499999999999E-2</v>
      </c>
      <c r="K22" s="95">
        <v>1.90625E-2</v>
      </c>
      <c r="L22" s="96">
        <v>8000000</v>
      </c>
      <c r="M22" s="96">
        <v>4535000</v>
      </c>
      <c r="N22" s="96">
        <v>4535000</v>
      </c>
      <c r="O22" s="96">
        <v>1000000</v>
      </c>
      <c r="P22" s="97">
        <f t="shared" si="1"/>
        <v>4.5350000000000001</v>
      </c>
      <c r="Q22" s="98">
        <v>0.02</v>
      </c>
      <c r="R22" s="56"/>
      <c r="S22" s="57">
        <f>O22*J22/$R$10</f>
        <v>17279332.09631478</v>
      </c>
      <c r="T22" s="57"/>
    </row>
    <row r="23" spans="1:20" ht="13.5" customHeight="1" x14ac:dyDescent="0.2">
      <c r="A23" s="100"/>
      <c r="B23" s="99"/>
      <c r="C23" s="91" t="s">
        <v>46</v>
      </c>
      <c r="D23" s="92">
        <v>41313</v>
      </c>
      <c r="E23" s="93">
        <v>0</v>
      </c>
      <c r="F23" s="94">
        <v>0.03</v>
      </c>
      <c r="G23" s="94">
        <v>3.3719499999999999E-2</v>
      </c>
      <c r="H23" s="94">
        <v>4.4374999999999998E-2</v>
      </c>
      <c r="I23" s="94">
        <v>0.03</v>
      </c>
      <c r="J23" s="95">
        <v>3.0232100000000001E-2</v>
      </c>
      <c r="K23" s="95">
        <v>3.125E-2</v>
      </c>
      <c r="L23" s="96"/>
      <c r="M23" s="96">
        <v>6075000</v>
      </c>
      <c r="N23" s="96">
        <v>6075000</v>
      </c>
      <c r="O23" s="96">
        <v>1000000</v>
      </c>
      <c r="P23" s="97">
        <f t="shared" si="1"/>
        <v>6.0750000000000002</v>
      </c>
      <c r="Q23" s="98">
        <v>3.5000000000000003E-2</v>
      </c>
      <c r="R23" s="56"/>
      <c r="S23" s="57"/>
      <c r="T23" s="57"/>
    </row>
    <row r="24" spans="1:20" ht="13.5" customHeight="1" x14ac:dyDescent="0.2">
      <c r="A24" s="100"/>
      <c r="B24" s="101"/>
      <c r="C24" s="91" t="s">
        <v>43</v>
      </c>
      <c r="D24" s="92">
        <v>46522</v>
      </c>
      <c r="E24" s="94">
        <v>7.0000000000000007E-2</v>
      </c>
      <c r="F24" s="94">
        <v>5.6562500000000002E-2</v>
      </c>
      <c r="G24" s="94">
        <v>5.7902200000000001E-2</v>
      </c>
      <c r="H24" s="94">
        <v>5.9062499999999997E-2</v>
      </c>
      <c r="I24" s="94">
        <v>5.6562500000000002E-2</v>
      </c>
      <c r="J24" s="95">
        <v>5.7464300000000003E-2</v>
      </c>
      <c r="K24" s="95">
        <v>5.7500000000000002E-2</v>
      </c>
      <c r="L24" s="96"/>
      <c r="M24" s="96">
        <v>8177000</v>
      </c>
      <c r="N24" s="96">
        <v>4100000</v>
      </c>
      <c r="O24" s="96">
        <v>3450000</v>
      </c>
      <c r="P24" s="97">
        <f t="shared" si="1"/>
        <v>2.3701449275362321</v>
      </c>
      <c r="Q24" s="98">
        <v>5.7500000000000002E-2</v>
      </c>
      <c r="R24" s="56">
        <f>O24*J24/$O$24</f>
        <v>5.7464300000000003E-2</v>
      </c>
      <c r="S24" s="57">
        <f>O24*J24/$R$10</f>
        <v>203152515.68087783</v>
      </c>
      <c r="T24" s="57"/>
    </row>
    <row r="25" spans="1:20" ht="13.5" customHeight="1" x14ac:dyDescent="0.2">
      <c r="A25" s="100"/>
      <c r="B25" s="101"/>
      <c r="C25" s="91" t="s">
        <v>32</v>
      </c>
      <c r="D25" s="92">
        <v>48380</v>
      </c>
      <c r="E25" s="94">
        <v>8.2500000000000004E-2</v>
      </c>
      <c r="F25" s="94">
        <v>6.1249999999999999E-2</v>
      </c>
      <c r="G25" s="94">
        <v>6.2410500000000001E-2</v>
      </c>
      <c r="H25" s="94">
        <v>6.4687499999999995E-2</v>
      </c>
      <c r="I25" s="94">
        <v>6.1249999999999999E-2</v>
      </c>
      <c r="J25" s="95">
        <v>6.1781299999999997E-2</v>
      </c>
      <c r="K25" s="95">
        <v>6.1874999999999999E-2</v>
      </c>
      <c r="L25" s="96"/>
      <c r="M25" s="96">
        <v>9233500</v>
      </c>
      <c r="N25" s="96">
        <v>7350000</v>
      </c>
      <c r="O25" s="96">
        <v>2000000</v>
      </c>
      <c r="P25" s="97">
        <f t="shared" si="1"/>
        <v>4.6167499999999997</v>
      </c>
      <c r="Q25" s="98">
        <v>6.2199999999999998E-2</v>
      </c>
      <c r="R25" s="56">
        <f>O25*J25/$O$24</f>
        <v>3.5815246376811591E-2</v>
      </c>
      <c r="S25" s="57">
        <f>O25*J25/$R$10</f>
        <v>126617002.2288572</v>
      </c>
      <c r="T25" s="57"/>
    </row>
    <row r="26" spans="1:20" ht="13.5" customHeight="1" x14ac:dyDescent="0.2">
      <c r="A26" s="100"/>
      <c r="B26" s="101"/>
      <c r="C26" s="91" t="s">
        <v>47</v>
      </c>
      <c r="D26" s="92">
        <v>51971</v>
      </c>
      <c r="E26" s="94">
        <v>6.3750000000000001E-2</v>
      </c>
      <c r="F26" s="94">
        <v>6.3125000000000001E-2</v>
      </c>
      <c r="G26" s="94">
        <v>6.5730700000000003E-2</v>
      </c>
      <c r="H26" s="94">
        <v>7.0000000000000007E-2</v>
      </c>
      <c r="I26" s="94">
        <v>6.3125000000000001E-2</v>
      </c>
      <c r="J26" s="95">
        <v>6.4899399999999996E-2</v>
      </c>
      <c r="K26" s="95">
        <v>6.5000000000000002E-2</v>
      </c>
      <c r="L26" s="96"/>
      <c r="M26" s="96">
        <v>14362500</v>
      </c>
      <c r="N26" s="96">
        <v>6000000</v>
      </c>
      <c r="O26" s="96">
        <v>4550000</v>
      </c>
      <c r="P26" s="97">
        <f t="shared" si="1"/>
        <v>3.1565934065934065</v>
      </c>
      <c r="Q26" s="98">
        <v>6.5000000000000002E-2</v>
      </c>
      <c r="R26" s="56">
        <f>O26*J26/$O$24</f>
        <v>8.5591962318840573E-2</v>
      </c>
      <c r="S26" s="57">
        <f>O26*J26/$R$10</f>
        <v>302591738.99508673</v>
      </c>
      <c r="T26" s="62">
        <f>SUM(S22:S26)</f>
        <v>649640589.00113654</v>
      </c>
    </row>
    <row r="27" spans="1:20" ht="13.5" customHeight="1" x14ac:dyDescent="0.2">
      <c r="A27" s="60">
        <v>40953</v>
      </c>
      <c r="B27" s="61">
        <v>40955</v>
      </c>
      <c r="C27" s="18" t="s">
        <v>52</v>
      </c>
      <c r="D27" s="19"/>
      <c r="E27" s="50">
        <v>0</v>
      </c>
      <c r="F27" s="27">
        <v>3.7187499999999998E-2</v>
      </c>
      <c r="G27" s="27"/>
      <c r="H27" s="27">
        <v>4.2500000000000003E-2</v>
      </c>
      <c r="I27" s="27"/>
      <c r="J27" s="28"/>
      <c r="K27" s="28"/>
      <c r="L27" s="22">
        <v>1000000</v>
      </c>
      <c r="M27" s="22">
        <v>2331000</v>
      </c>
      <c r="N27" s="22"/>
      <c r="O27" s="22"/>
      <c r="P27" s="46"/>
      <c r="Q27" s="56"/>
      <c r="R27" s="56"/>
      <c r="S27" s="57">
        <f>O27*J27/$R$10</f>
        <v>0</v>
      </c>
      <c r="T27" s="57"/>
    </row>
    <row r="28" spans="1:20" ht="13.5" customHeight="1" x14ac:dyDescent="0.2">
      <c r="A28" s="60"/>
      <c r="B28" s="88"/>
      <c r="C28" s="18" t="s">
        <v>48</v>
      </c>
      <c r="D28" s="19">
        <v>43146</v>
      </c>
      <c r="E28" s="103">
        <v>4.4499999999999998E-2</v>
      </c>
      <c r="F28" s="27">
        <v>4.71875E-2</v>
      </c>
      <c r="G28" s="27"/>
      <c r="H28" s="27">
        <v>4.65625E-2</v>
      </c>
      <c r="I28" s="27">
        <v>4.71875E-2</v>
      </c>
      <c r="J28" s="27">
        <v>4.71875E-2</v>
      </c>
      <c r="K28" s="28"/>
      <c r="L28" s="22"/>
      <c r="M28" s="22">
        <v>246000</v>
      </c>
      <c r="N28" s="22">
        <v>25000</v>
      </c>
      <c r="O28" s="22">
        <v>25000</v>
      </c>
      <c r="P28" s="46">
        <f t="shared" ref="P28:P37" si="2">M28/O28</f>
        <v>9.84</v>
      </c>
      <c r="Q28" s="56"/>
      <c r="R28" s="56"/>
      <c r="S28" s="57"/>
      <c r="T28" s="57"/>
    </row>
    <row r="29" spans="1:20" ht="13.5" customHeight="1" x14ac:dyDescent="0.2">
      <c r="A29" s="16"/>
      <c r="B29" s="17"/>
      <c r="C29" s="18" t="s">
        <v>49</v>
      </c>
      <c r="D29" s="19">
        <v>44576</v>
      </c>
      <c r="E29" s="50"/>
      <c r="F29" s="27">
        <v>5.3124999999999999E-2</v>
      </c>
      <c r="G29" s="27"/>
      <c r="H29" s="27">
        <v>5.7500000000000002E-2</v>
      </c>
      <c r="I29" s="27"/>
      <c r="J29" s="28"/>
      <c r="K29" s="28"/>
      <c r="L29" s="22"/>
      <c r="M29" s="22">
        <v>219000</v>
      </c>
      <c r="N29" s="22"/>
      <c r="O29" s="22"/>
      <c r="P29" s="46"/>
      <c r="Q29" s="56"/>
      <c r="R29" s="56">
        <f>O29*J29/$O$218</f>
        <v>0</v>
      </c>
      <c r="S29" s="57">
        <f>O29*J29/$R$10</f>
        <v>0</v>
      </c>
      <c r="T29" s="57"/>
    </row>
    <row r="30" spans="1:20" ht="13.5" customHeight="1" x14ac:dyDescent="0.2">
      <c r="A30" s="16"/>
      <c r="B30" s="17"/>
      <c r="C30" s="18" t="s">
        <v>50</v>
      </c>
      <c r="D30" s="19">
        <v>46402</v>
      </c>
      <c r="E30" s="27">
        <v>0.06</v>
      </c>
      <c r="F30" s="27">
        <v>5.7187500000000002E-2</v>
      </c>
      <c r="G30" s="27"/>
      <c r="H30" s="27">
        <v>6.3125000000000001E-2</v>
      </c>
      <c r="I30" s="27">
        <v>5.7187500000000002E-2</v>
      </c>
      <c r="J30" s="28">
        <v>5.7500000000000002E-2</v>
      </c>
      <c r="K30" s="28"/>
      <c r="L30" s="22"/>
      <c r="M30" s="22">
        <v>476000</v>
      </c>
      <c r="N30" s="22">
        <v>100000</v>
      </c>
      <c r="O30" s="22">
        <v>100000</v>
      </c>
      <c r="P30" s="46">
        <f t="shared" si="2"/>
        <v>4.76</v>
      </c>
      <c r="Q30" s="56"/>
      <c r="R30" s="56"/>
      <c r="S30" s="57"/>
      <c r="T30" s="57"/>
    </row>
    <row r="31" spans="1:20" ht="13.5" customHeight="1" x14ac:dyDescent="0.2">
      <c r="A31" s="16"/>
      <c r="B31" s="17"/>
      <c r="C31" s="18" t="s">
        <v>53</v>
      </c>
      <c r="D31" s="19">
        <v>50086</v>
      </c>
      <c r="E31" s="27">
        <v>6.0999999999999999E-2</v>
      </c>
      <c r="F31" s="27">
        <v>6.1562499999999999E-2</v>
      </c>
      <c r="G31" s="27"/>
      <c r="H31" s="27">
        <v>7.0000000000000007E-2</v>
      </c>
      <c r="I31" s="27">
        <v>6.1562499999999999E-2</v>
      </c>
      <c r="J31" s="28">
        <v>6.2482999999999997E-2</v>
      </c>
      <c r="K31" s="28"/>
      <c r="L31" s="22"/>
      <c r="M31" s="22">
        <v>3784000</v>
      </c>
      <c r="N31" s="22">
        <v>2050000</v>
      </c>
      <c r="O31" s="22">
        <v>2050000</v>
      </c>
      <c r="P31" s="46">
        <f t="shared" si="2"/>
        <v>1.8458536585365855</v>
      </c>
      <c r="Q31" s="56"/>
      <c r="R31" s="56">
        <f>O31*J31/$O$218</f>
        <v>4.7697327006793698E-4</v>
      </c>
      <c r="S31" s="57">
        <f>O31*J31/$R$10</f>
        <v>131256470.87423423</v>
      </c>
      <c r="T31" s="57"/>
    </row>
    <row r="32" spans="1:20" ht="13.5" customHeight="1" x14ac:dyDescent="0.2">
      <c r="A32" s="89">
        <v>40960</v>
      </c>
      <c r="B32" s="90">
        <v>40962</v>
      </c>
      <c r="C32" s="91" t="s">
        <v>54</v>
      </c>
      <c r="D32" s="92">
        <v>41051</v>
      </c>
      <c r="E32" s="93">
        <v>0</v>
      </c>
      <c r="F32" s="94">
        <v>2.0937500000000001E-2</v>
      </c>
      <c r="G32" s="94">
        <v>2.6657799999999999E-2</v>
      </c>
      <c r="H32" s="94">
        <v>3.5000000000000003E-2</v>
      </c>
      <c r="I32" s="94">
        <v>2.0937500000000001E-2</v>
      </c>
      <c r="J32" s="95">
        <v>2.2009399999999998E-2</v>
      </c>
      <c r="K32" s="95">
        <v>2.3125E-2</v>
      </c>
      <c r="L32" s="96">
        <v>8000000</v>
      </c>
      <c r="M32" s="96">
        <v>2360000</v>
      </c>
      <c r="N32" s="96">
        <v>1200000</v>
      </c>
      <c r="O32" s="96">
        <v>1000000</v>
      </c>
      <c r="P32" s="97">
        <f t="shared" si="2"/>
        <v>2.36</v>
      </c>
      <c r="Q32" s="98">
        <v>2.2599999999999999E-2</v>
      </c>
      <c r="R32" s="56"/>
      <c r="S32" s="57">
        <f>O32*J32/$R$10</f>
        <v>22553460.746664524</v>
      </c>
      <c r="T32" s="57"/>
    </row>
    <row r="33" spans="1:20" ht="13.5" customHeight="1" x14ac:dyDescent="0.2">
      <c r="A33" s="100"/>
      <c r="B33" s="99"/>
      <c r="C33" s="91" t="s">
        <v>55</v>
      </c>
      <c r="D33" s="92">
        <v>41285</v>
      </c>
      <c r="E33" s="93">
        <v>0</v>
      </c>
      <c r="F33" s="94">
        <v>3.125E-2</v>
      </c>
      <c r="G33" s="94">
        <v>3.5607899999999998E-2</v>
      </c>
      <c r="H33" s="94">
        <v>0.04</v>
      </c>
      <c r="I33" s="94">
        <v>3.125E-2</v>
      </c>
      <c r="J33" s="95">
        <v>3.31667E-2</v>
      </c>
      <c r="K33" s="95">
        <v>3.3750000000000002E-2</v>
      </c>
      <c r="L33" s="96"/>
      <c r="M33" s="96">
        <v>3380000</v>
      </c>
      <c r="N33" s="96">
        <v>750000</v>
      </c>
      <c r="O33" s="96">
        <v>750000</v>
      </c>
      <c r="P33" s="97">
        <f t="shared" si="2"/>
        <v>4.5066666666666668</v>
      </c>
      <c r="Q33" s="98">
        <v>3.32E-2</v>
      </c>
      <c r="R33" s="56"/>
      <c r="S33" s="57"/>
      <c r="T33" s="57"/>
    </row>
    <row r="34" spans="1:20" ht="13.5" customHeight="1" x14ac:dyDescent="0.2">
      <c r="A34" s="100"/>
      <c r="B34" s="101"/>
      <c r="C34" s="91" t="s">
        <v>35</v>
      </c>
      <c r="D34" s="92">
        <v>44696</v>
      </c>
      <c r="E34" s="94">
        <v>7.0000000000000007E-2</v>
      </c>
      <c r="F34" s="94">
        <v>5.1562499999999997E-2</v>
      </c>
      <c r="G34" s="94">
        <v>5.2656099999999997E-2</v>
      </c>
      <c r="H34" s="94">
        <v>5.3749999999999999E-2</v>
      </c>
      <c r="I34" s="94">
        <v>5.1562499999999997E-2</v>
      </c>
      <c r="J34" s="95">
        <v>5.2357800000000003E-2</v>
      </c>
      <c r="K34" s="95">
        <v>5.2499999999999998E-2</v>
      </c>
      <c r="L34" s="96"/>
      <c r="M34" s="96">
        <v>4294000</v>
      </c>
      <c r="N34" s="96">
        <v>2150000</v>
      </c>
      <c r="O34" s="96">
        <v>1950000</v>
      </c>
      <c r="P34" s="97">
        <f t="shared" si="2"/>
        <v>2.2020512820512819</v>
      </c>
      <c r="Q34" s="98">
        <v>5.2400000000000002E-2</v>
      </c>
      <c r="R34" s="56" t="e">
        <f>O34*J34/$O$29</f>
        <v>#DIV/0!</v>
      </c>
      <c r="S34" s="57">
        <f>O34*J34/$R$10</f>
        <v>104621511.48188221</v>
      </c>
      <c r="T34" s="57"/>
    </row>
    <row r="35" spans="1:20" ht="13.5" customHeight="1" x14ac:dyDescent="0.2">
      <c r="A35" s="100"/>
      <c r="B35" s="101"/>
      <c r="C35" s="91" t="s">
        <v>32</v>
      </c>
      <c r="D35" s="92">
        <v>48380</v>
      </c>
      <c r="E35" s="94">
        <v>8.2500000000000004E-2</v>
      </c>
      <c r="F35" s="94">
        <v>6.0624999999999998E-2</v>
      </c>
      <c r="G35" s="94">
        <v>6.1441099999999998E-2</v>
      </c>
      <c r="H35" s="94">
        <v>6.25E-2</v>
      </c>
      <c r="I35" s="94">
        <v>6.0624999999999998E-2</v>
      </c>
      <c r="J35" s="95">
        <v>6.09974E-2</v>
      </c>
      <c r="K35" s="95">
        <v>6.1249999999999999E-2</v>
      </c>
      <c r="L35" s="96"/>
      <c r="M35" s="96">
        <v>5631000</v>
      </c>
      <c r="N35" s="96">
        <v>2600000</v>
      </c>
      <c r="O35" s="96">
        <v>2600000</v>
      </c>
      <c r="P35" s="97">
        <f t="shared" si="2"/>
        <v>2.1657692307692309</v>
      </c>
      <c r="Q35" s="98">
        <v>6.0999999999999999E-2</v>
      </c>
      <c r="R35" s="56" t="e">
        <f>O35*J35/$O$29</f>
        <v>#DIV/0!</v>
      </c>
      <c r="S35" s="57">
        <f>O35*J35/$R$10</f>
        <v>162513581.15288678</v>
      </c>
      <c r="T35" s="57"/>
    </row>
    <row r="36" spans="1:20" ht="13.5" customHeight="1" x14ac:dyDescent="0.2">
      <c r="A36" s="100"/>
      <c r="B36" s="101"/>
      <c r="C36" s="91" t="s">
        <v>47</v>
      </c>
      <c r="D36" s="92">
        <v>51971</v>
      </c>
      <c r="E36" s="94">
        <v>6.3750000000000001E-2</v>
      </c>
      <c r="F36" s="94">
        <v>6.0937499999999999E-2</v>
      </c>
      <c r="G36" s="94">
        <v>6.2096600000000002E-2</v>
      </c>
      <c r="H36" s="94">
        <v>6.5000000000000002E-2</v>
      </c>
      <c r="I36" s="94">
        <v>6.0937499999999999E-2</v>
      </c>
      <c r="J36" s="95">
        <v>6.1901900000000003E-2</v>
      </c>
      <c r="K36" s="95">
        <v>6.25E-2</v>
      </c>
      <c r="L36" s="96"/>
      <c r="M36" s="96">
        <v>6600500</v>
      </c>
      <c r="N36" s="96">
        <v>6350000</v>
      </c>
      <c r="O36" s="96">
        <v>5700000</v>
      </c>
      <c r="P36" s="97">
        <f t="shared" si="2"/>
        <v>1.1579824561403509</v>
      </c>
      <c r="Q36" s="98">
        <v>6.2E-2</v>
      </c>
      <c r="R36" s="56" t="e">
        <f>O36*J36/$O$29</f>
        <v>#DIV/0!</v>
      </c>
      <c r="S36" s="57">
        <f>O36*J36/$R$10</f>
        <v>361562869.01167369</v>
      </c>
      <c r="T36" s="62">
        <f>SUM(S32:S36)</f>
        <v>651251422.39310718</v>
      </c>
    </row>
    <row r="37" spans="1:20" ht="13.5" customHeight="1" x14ac:dyDescent="0.2">
      <c r="A37" s="60">
        <v>40962</v>
      </c>
      <c r="B37" s="61">
        <v>40966</v>
      </c>
      <c r="C37" s="18" t="s">
        <v>48</v>
      </c>
      <c r="D37" s="19">
        <v>43146</v>
      </c>
      <c r="E37" s="104">
        <v>4.4499999999999998E-2</v>
      </c>
      <c r="F37" s="27">
        <v>4.4687499999999998E-2</v>
      </c>
      <c r="G37" s="27"/>
      <c r="H37" s="27">
        <v>0.06</v>
      </c>
      <c r="I37" s="27">
        <v>4.4687499999999998E-2</v>
      </c>
      <c r="J37" s="28">
        <v>4.4687499999999998E-2</v>
      </c>
      <c r="K37" s="28"/>
      <c r="L37" s="22">
        <v>1000000</v>
      </c>
      <c r="M37" s="22">
        <v>246000</v>
      </c>
      <c r="N37" s="22">
        <v>25000</v>
      </c>
      <c r="O37" s="22">
        <v>25000</v>
      </c>
      <c r="P37" s="46">
        <f t="shared" si="2"/>
        <v>9.84</v>
      </c>
      <c r="Q37" s="56"/>
      <c r="R37" s="56"/>
      <c r="S37" s="57">
        <f>O37*J37/$R$10</f>
        <v>1144803.7851061034</v>
      </c>
      <c r="T37" s="57"/>
    </row>
    <row r="38" spans="1:20" ht="13.5" customHeight="1" x14ac:dyDescent="0.2">
      <c r="A38" s="60"/>
      <c r="B38" s="88"/>
      <c r="C38" s="18" t="s">
        <v>49</v>
      </c>
      <c r="D38" s="19">
        <v>44576</v>
      </c>
      <c r="E38" s="104">
        <v>5.45E-2</v>
      </c>
      <c r="F38" s="27">
        <v>5.4375E-2</v>
      </c>
      <c r="G38" s="27"/>
      <c r="H38" s="27">
        <v>6.5000000000000002E-2</v>
      </c>
      <c r="I38" s="27">
        <v>5.4375E-2</v>
      </c>
      <c r="J38" s="27">
        <v>5.5E-2</v>
      </c>
      <c r="K38" s="28"/>
      <c r="L38" s="22"/>
      <c r="M38" s="22">
        <v>196000</v>
      </c>
      <c r="N38" s="22">
        <v>170000</v>
      </c>
      <c r="O38" s="22">
        <v>170000</v>
      </c>
      <c r="P38" s="46">
        <f>M38/O38</f>
        <v>1.1529411764705881</v>
      </c>
      <c r="Q38" s="56"/>
      <c r="R38" s="56"/>
      <c r="S38" s="57"/>
      <c r="T38" s="57"/>
    </row>
    <row r="39" spans="1:20" ht="13.5" customHeight="1" x14ac:dyDescent="0.2">
      <c r="A39" s="16"/>
      <c r="B39" s="17"/>
      <c r="C39" s="18" t="s">
        <v>50</v>
      </c>
      <c r="D39" s="19">
        <v>46402</v>
      </c>
      <c r="E39" s="27">
        <v>0.06</v>
      </c>
      <c r="F39" s="27">
        <v>5.7500000000000002E-2</v>
      </c>
      <c r="G39" s="27"/>
      <c r="H39" s="27">
        <v>7.0000000000000007E-2</v>
      </c>
      <c r="I39" s="27">
        <v>5.7500000000000002E-2</v>
      </c>
      <c r="J39" s="28">
        <v>5.7782300000000002E-2</v>
      </c>
      <c r="K39" s="28"/>
      <c r="L39" s="22"/>
      <c r="M39" s="22">
        <v>115000</v>
      </c>
      <c r="N39" s="22">
        <v>77000</v>
      </c>
      <c r="O39" s="22">
        <v>77000</v>
      </c>
      <c r="P39" s="46">
        <f>M39/O39</f>
        <v>1.4935064935064934</v>
      </c>
      <c r="Q39" s="56"/>
      <c r="R39" s="56">
        <f>O39*J39/$O$218</f>
        <v>1.6567762383716351E-5</v>
      </c>
      <c r="S39" s="57">
        <f>O39*J39/$R$10</f>
        <v>4559219.8918395555</v>
      </c>
      <c r="T39" s="57"/>
    </row>
    <row r="40" spans="1:20" ht="13.5" customHeight="1" x14ac:dyDescent="0.2">
      <c r="A40" s="16"/>
      <c r="B40" s="17"/>
      <c r="C40" s="18" t="s">
        <v>53</v>
      </c>
      <c r="D40" s="19">
        <v>50086</v>
      </c>
      <c r="E40" s="27">
        <v>6.0999999999999999E-2</v>
      </c>
      <c r="F40" s="27">
        <v>6.25E-2</v>
      </c>
      <c r="G40" s="27"/>
      <c r="H40" s="27">
        <v>7.2499999999999995E-2</v>
      </c>
      <c r="I40" s="27">
        <v>6.25E-2</v>
      </c>
      <c r="J40" s="28">
        <v>6.2923099999999996E-2</v>
      </c>
      <c r="K40" s="28"/>
      <c r="L40" s="22"/>
      <c r="M40" s="22">
        <v>1569500</v>
      </c>
      <c r="N40" s="22">
        <v>1200000</v>
      </c>
      <c r="O40" s="22">
        <v>1200000</v>
      </c>
      <c r="P40" s="46">
        <f>M40/O40</f>
        <v>1.3079166666666666</v>
      </c>
      <c r="Q40" s="56"/>
      <c r="R40" s="56"/>
      <c r="S40" s="57"/>
      <c r="T40" s="57"/>
    </row>
    <row r="41" spans="1:20" ht="13.5" customHeight="1" x14ac:dyDescent="0.2">
      <c r="A41" s="89">
        <v>40974</v>
      </c>
      <c r="B41" s="90">
        <v>40976</v>
      </c>
      <c r="C41" s="91" t="s">
        <v>56</v>
      </c>
      <c r="D41" s="92">
        <v>41067</v>
      </c>
      <c r="E41" s="93">
        <v>0</v>
      </c>
      <c r="F41" s="94">
        <v>0.03</v>
      </c>
      <c r="G41" s="94">
        <v>3.64967E-2</v>
      </c>
      <c r="H41" s="94">
        <v>4.2500000000000003E-2</v>
      </c>
      <c r="I41" s="94">
        <v>0.03</v>
      </c>
      <c r="J41" s="95">
        <v>0.03</v>
      </c>
      <c r="K41" s="95">
        <v>0.03</v>
      </c>
      <c r="L41" s="96">
        <v>5000000</v>
      </c>
      <c r="M41" s="96">
        <v>1900000</v>
      </c>
      <c r="N41" s="96">
        <v>500000</v>
      </c>
      <c r="O41" s="96">
        <v>500000</v>
      </c>
      <c r="P41" s="97">
        <f>M41/O41</f>
        <v>3.8</v>
      </c>
      <c r="Q41" s="98">
        <v>0.03</v>
      </c>
      <c r="R41" s="56"/>
      <c r="S41" s="57">
        <f>O41*J41/$R$10</f>
        <v>15370792.079746285</v>
      </c>
      <c r="T41" s="57"/>
    </row>
    <row r="42" spans="1:20" ht="13.5" customHeight="1" x14ac:dyDescent="0.2">
      <c r="A42" s="100"/>
      <c r="B42" s="99"/>
      <c r="C42" s="91" t="s">
        <v>57</v>
      </c>
      <c r="D42" s="92">
        <v>41312</v>
      </c>
      <c r="E42" s="93">
        <v>0</v>
      </c>
      <c r="F42" s="94">
        <v>4.0625000000000001E-2</v>
      </c>
      <c r="G42" s="94">
        <v>4.3482100000000003E-2</v>
      </c>
      <c r="H42" s="94">
        <v>4.5624999999999999E-2</v>
      </c>
      <c r="I42" s="94">
        <v>4.0625000000000001E-2</v>
      </c>
      <c r="J42" s="95">
        <v>4.0625000000000001E-2</v>
      </c>
      <c r="K42" s="95">
        <v>4.0625000000000001E-2</v>
      </c>
      <c r="L42" s="96"/>
      <c r="M42" s="96">
        <v>2025000</v>
      </c>
      <c r="N42" s="96">
        <v>1100000</v>
      </c>
      <c r="O42" s="96">
        <v>1100000</v>
      </c>
      <c r="P42" s="97">
        <f>M42/O42</f>
        <v>1.8409090909090908</v>
      </c>
      <c r="Q42" s="98">
        <v>4.07E-2</v>
      </c>
      <c r="R42" s="56"/>
      <c r="S42" s="57"/>
      <c r="T42" s="57"/>
    </row>
    <row r="43" spans="1:20" ht="13.5" customHeight="1" x14ac:dyDescent="0.2">
      <c r="A43" s="100"/>
      <c r="B43" s="101"/>
      <c r="C43" s="91" t="s">
        <v>34</v>
      </c>
      <c r="D43" s="92">
        <v>42840</v>
      </c>
      <c r="E43" s="94">
        <v>6.25E-2</v>
      </c>
      <c r="F43" s="94">
        <v>4.9687500000000002E-2</v>
      </c>
      <c r="G43" s="94">
        <v>5.1496300000000002E-2</v>
      </c>
      <c r="H43" s="94">
        <v>5.5E-2</v>
      </c>
      <c r="I43" s="94">
        <v>0</v>
      </c>
      <c r="J43" s="95">
        <v>0</v>
      </c>
      <c r="K43" s="95">
        <v>0</v>
      </c>
      <c r="L43" s="96"/>
      <c r="M43" s="96">
        <v>2835000</v>
      </c>
      <c r="N43" s="96"/>
      <c r="O43" s="96"/>
      <c r="P43" s="97"/>
      <c r="Q43" s="98">
        <v>4.8500000000000001E-2</v>
      </c>
      <c r="R43" s="56">
        <f>O43*J43/$O$39</f>
        <v>0</v>
      </c>
      <c r="S43" s="57">
        <f>O43*J43/$R$10</f>
        <v>0</v>
      </c>
      <c r="T43" s="57"/>
    </row>
    <row r="44" spans="1:20" s="107" customFormat="1" ht="13.5" customHeight="1" x14ac:dyDescent="0.2">
      <c r="A44" s="100"/>
      <c r="B44" s="101"/>
      <c r="C44" s="91" t="s">
        <v>35</v>
      </c>
      <c r="D44" s="92">
        <v>44696</v>
      </c>
      <c r="E44" s="94">
        <v>7.0000000000000007E-2</v>
      </c>
      <c r="F44" s="94">
        <v>5.7187500000000002E-2</v>
      </c>
      <c r="G44" s="94">
        <v>5.8829600000000003E-2</v>
      </c>
      <c r="H44" s="94">
        <v>6.0937499999999999E-2</v>
      </c>
      <c r="I44" s="94">
        <v>0</v>
      </c>
      <c r="J44" s="95">
        <v>0</v>
      </c>
      <c r="K44" s="95">
        <v>0</v>
      </c>
      <c r="L44" s="96"/>
      <c r="M44" s="96">
        <v>1955000</v>
      </c>
      <c r="N44" s="96"/>
      <c r="O44" s="96"/>
      <c r="P44" s="97"/>
      <c r="Q44" s="98">
        <v>5.5800000000000002E-2</v>
      </c>
      <c r="R44" s="105">
        <f>O44*J44/$O$39</f>
        <v>0</v>
      </c>
      <c r="S44" s="106">
        <f>O44*J44/$R$10</f>
        <v>0</v>
      </c>
      <c r="T44" s="106"/>
    </row>
    <row r="45" spans="1:20" ht="13.5" customHeight="1" x14ac:dyDescent="0.2">
      <c r="A45" s="100"/>
      <c r="B45" s="101"/>
      <c r="C45" s="91" t="s">
        <v>43</v>
      </c>
      <c r="D45" s="92">
        <v>46522</v>
      </c>
      <c r="E45" s="94">
        <v>7.0000000000000007E-2</v>
      </c>
      <c r="F45" s="94">
        <v>6.1874999999999999E-2</v>
      </c>
      <c r="G45" s="94">
        <v>6.2988799999999998E-2</v>
      </c>
      <c r="H45" s="94">
        <v>6.7500000000000004E-2</v>
      </c>
      <c r="I45" s="94">
        <v>0</v>
      </c>
      <c r="J45" s="95">
        <v>0</v>
      </c>
      <c r="K45" s="95">
        <v>0</v>
      </c>
      <c r="L45" s="96"/>
      <c r="M45" s="96">
        <v>1905000</v>
      </c>
      <c r="N45" s="96"/>
      <c r="O45" s="96"/>
      <c r="P45" s="97"/>
      <c r="Q45" s="98">
        <v>6.13E-2</v>
      </c>
      <c r="R45" s="56">
        <f>O45*J45/$O$39</f>
        <v>0</v>
      </c>
      <c r="S45" s="57">
        <f>O45*J45/$R$10</f>
        <v>0</v>
      </c>
      <c r="T45" s="57"/>
    </row>
    <row r="46" spans="1:20" ht="13.5" customHeight="1" x14ac:dyDescent="0.2">
      <c r="A46" s="60">
        <v>40981</v>
      </c>
      <c r="B46" s="61">
        <v>40983</v>
      </c>
      <c r="C46" s="18" t="s">
        <v>59</v>
      </c>
      <c r="D46" s="19">
        <v>41166</v>
      </c>
      <c r="E46" s="50">
        <v>0</v>
      </c>
      <c r="F46" s="27">
        <v>3.7499999999999999E-2</v>
      </c>
      <c r="G46" s="27"/>
      <c r="H46" s="27">
        <v>0.05</v>
      </c>
      <c r="I46" s="27"/>
      <c r="J46" s="28">
        <v>3.7959199999999998E-2</v>
      </c>
      <c r="K46" s="28"/>
      <c r="L46" s="22">
        <v>1000000</v>
      </c>
      <c r="M46" s="22">
        <v>2350000</v>
      </c>
      <c r="N46" s="22">
        <v>280000</v>
      </c>
      <c r="O46" s="22">
        <v>280000</v>
      </c>
      <c r="P46" s="46">
        <f>M46/O46</f>
        <v>8.3928571428571423</v>
      </c>
      <c r="Q46" s="56"/>
      <c r="R46" s="56"/>
      <c r="S46" s="57">
        <f>O46*J46/$R$10</f>
        <v>10891308.786652096</v>
      </c>
      <c r="T46" s="57"/>
    </row>
    <row r="47" spans="1:20" ht="13.5" customHeight="1" x14ac:dyDescent="0.2">
      <c r="A47" s="60"/>
      <c r="B47" s="88"/>
      <c r="C47" s="18" t="s">
        <v>48</v>
      </c>
      <c r="D47" s="19">
        <v>43146</v>
      </c>
      <c r="E47" s="104">
        <v>4.4499999999999998E-2</v>
      </c>
      <c r="F47" s="27">
        <v>5.9687499999999998E-2</v>
      </c>
      <c r="G47" s="27"/>
      <c r="H47" s="27">
        <v>6.5000000000000002E-2</v>
      </c>
      <c r="I47" s="27"/>
      <c r="J47" s="27"/>
      <c r="K47" s="28"/>
      <c r="L47" s="22"/>
      <c r="M47" s="22">
        <v>132000</v>
      </c>
      <c r="N47" s="22"/>
      <c r="O47" s="22"/>
      <c r="P47" s="46"/>
      <c r="Q47" s="56"/>
      <c r="R47" s="56"/>
      <c r="S47" s="57"/>
      <c r="T47" s="57"/>
    </row>
    <row r="48" spans="1:20" ht="13.5" customHeight="1" x14ac:dyDescent="0.2">
      <c r="A48" s="16"/>
      <c r="B48" s="17"/>
      <c r="C48" s="18" t="s">
        <v>49</v>
      </c>
      <c r="D48" s="19">
        <v>44576</v>
      </c>
      <c r="E48" s="104">
        <v>5.45E-2</v>
      </c>
      <c r="F48" s="27">
        <v>6.2812499999999993E-2</v>
      </c>
      <c r="G48" s="27"/>
      <c r="H48" s="27">
        <v>7.0000000000000007E-2</v>
      </c>
      <c r="I48" s="27"/>
      <c r="J48" s="28"/>
      <c r="K48" s="28"/>
      <c r="L48" s="22"/>
      <c r="M48" s="22">
        <v>664000</v>
      </c>
      <c r="N48" s="22"/>
      <c r="O48" s="22"/>
      <c r="P48" s="46"/>
      <c r="Q48" s="56"/>
      <c r="R48" s="56">
        <f>O48*J48/$O$218</f>
        <v>0</v>
      </c>
      <c r="S48" s="57">
        <f>O48*J48/$R$10</f>
        <v>0</v>
      </c>
      <c r="T48" s="57"/>
    </row>
    <row r="49" spans="1:20" ht="13.5" customHeight="1" x14ac:dyDescent="0.2">
      <c r="A49" s="16"/>
      <c r="B49" s="17"/>
      <c r="C49" s="18" t="s">
        <v>50</v>
      </c>
      <c r="D49" s="19">
        <v>46402</v>
      </c>
      <c r="E49" s="27">
        <v>0.06</v>
      </c>
      <c r="F49" s="27">
        <v>6.4687499999999995E-2</v>
      </c>
      <c r="G49" s="27"/>
      <c r="H49" s="27">
        <v>7.4999999999999997E-2</v>
      </c>
      <c r="I49" s="27"/>
      <c r="J49" s="28">
        <v>6.4699999999999994E-2</v>
      </c>
      <c r="K49" s="28"/>
      <c r="L49" s="22"/>
      <c r="M49" s="22">
        <v>1326000</v>
      </c>
      <c r="N49" s="22">
        <v>650000</v>
      </c>
      <c r="O49" s="22">
        <v>650000</v>
      </c>
      <c r="P49" s="46">
        <f t="shared" ref="P49:P55" si="3">M49/O49</f>
        <v>2.04</v>
      </c>
      <c r="Q49" s="56"/>
      <c r="R49" s="56"/>
      <c r="S49" s="57"/>
      <c r="T49" s="57"/>
    </row>
    <row r="50" spans="1:20" ht="13.5" customHeight="1" x14ac:dyDescent="0.2">
      <c r="A50" s="16"/>
      <c r="B50" s="17"/>
      <c r="C50" s="18" t="s">
        <v>53</v>
      </c>
      <c r="D50" s="19">
        <v>50086</v>
      </c>
      <c r="E50" s="27">
        <v>6.0999999999999999E-2</v>
      </c>
      <c r="F50" s="27">
        <v>6.4687499999999995E-2</v>
      </c>
      <c r="G50" s="27"/>
      <c r="H50" s="27">
        <v>7.8750000000000001E-2</v>
      </c>
      <c r="I50" s="27"/>
      <c r="J50" s="28">
        <v>6.8666400000000002E-2</v>
      </c>
      <c r="K50" s="28"/>
      <c r="L50" s="22"/>
      <c r="M50" s="22">
        <v>812000</v>
      </c>
      <c r="N50" s="22">
        <v>730000</v>
      </c>
      <c r="O50" s="22">
        <v>730000</v>
      </c>
      <c r="P50" s="46">
        <f t="shared" si="3"/>
        <v>1.1123287671232878</v>
      </c>
      <c r="Q50" s="56"/>
      <c r="R50" s="56">
        <f>O50*J50/$O$218</f>
        <v>1.8665750072748672E-4</v>
      </c>
      <c r="S50" s="57">
        <f>O50*J50/$R$10</f>
        <v>51365571.920214929</v>
      </c>
      <c r="T50" s="57"/>
    </row>
    <row r="51" spans="1:20" ht="13.5" customHeight="1" x14ac:dyDescent="0.2">
      <c r="A51" s="89">
        <v>40987</v>
      </c>
      <c r="B51" s="90">
        <v>40989</v>
      </c>
      <c r="C51" s="91" t="s">
        <v>60</v>
      </c>
      <c r="D51" s="92">
        <v>42268</v>
      </c>
      <c r="E51" s="94">
        <v>6.25E-2</v>
      </c>
      <c r="F51" s="94"/>
      <c r="G51" s="94"/>
      <c r="H51" s="94"/>
      <c r="I51" s="94"/>
      <c r="J51" s="95">
        <v>6.25E-2</v>
      </c>
      <c r="K51" s="95"/>
      <c r="L51" s="96">
        <v>13000000</v>
      </c>
      <c r="M51" s="96">
        <v>13613805</v>
      </c>
      <c r="N51" s="96">
        <v>13613805</v>
      </c>
      <c r="O51" s="96">
        <v>13613805</v>
      </c>
      <c r="P51" s="97">
        <f t="shared" si="3"/>
        <v>1</v>
      </c>
      <c r="Q51" s="98"/>
      <c r="R51" s="56"/>
      <c r="S51" s="57">
        <f>O51*J51/$R$10</f>
        <v>871895691.9550432</v>
      </c>
      <c r="T51" s="57"/>
    </row>
    <row r="52" spans="1:20" ht="13.5" customHeight="1" x14ac:dyDescent="0.2">
      <c r="A52" s="73">
        <v>40988</v>
      </c>
      <c r="B52" s="73">
        <v>40990</v>
      </c>
      <c r="C52" s="64" t="s">
        <v>58</v>
      </c>
      <c r="D52" s="65">
        <v>41051</v>
      </c>
      <c r="E52" s="75">
        <v>0</v>
      </c>
      <c r="F52" s="66">
        <v>0.03</v>
      </c>
      <c r="G52" s="66">
        <v>3.85104E-2</v>
      </c>
      <c r="H52" s="66">
        <v>4.2500000000000003E-2</v>
      </c>
      <c r="I52" s="66">
        <v>0.03</v>
      </c>
      <c r="J52" s="67">
        <v>3.0800000000000001E-2</v>
      </c>
      <c r="K52" s="67">
        <v>3.1875000000000001E-2</v>
      </c>
      <c r="L52" s="68">
        <v>6000000</v>
      </c>
      <c r="M52" s="68">
        <v>2465000</v>
      </c>
      <c r="N52" s="68">
        <v>250000</v>
      </c>
      <c r="O52" s="68">
        <v>250000</v>
      </c>
      <c r="P52" s="69">
        <f t="shared" si="3"/>
        <v>9.86</v>
      </c>
      <c r="Q52" s="108">
        <v>3.1E-2</v>
      </c>
      <c r="R52" s="56"/>
      <c r="S52" s="57">
        <f>O52*J52/$R$10</f>
        <v>7890339.9342697598</v>
      </c>
      <c r="T52" s="57"/>
    </row>
    <row r="53" spans="1:20" ht="13.5" customHeight="1" x14ac:dyDescent="0.2">
      <c r="A53" s="109"/>
      <c r="B53" s="110"/>
      <c r="C53" s="64" t="s">
        <v>57</v>
      </c>
      <c r="D53" s="65">
        <v>41285</v>
      </c>
      <c r="E53" s="75">
        <v>0</v>
      </c>
      <c r="F53" s="66">
        <v>4.0312500000000001E-2</v>
      </c>
      <c r="G53" s="66">
        <v>4.2195000000000003E-2</v>
      </c>
      <c r="H53" s="66">
        <v>4.4999999999999998E-2</v>
      </c>
      <c r="I53" s="66">
        <v>4.0312500000000001E-2</v>
      </c>
      <c r="J53" s="67">
        <v>4.04167E-2</v>
      </c>
      <c r="K53" s="67">
        <v>4.0625000000000001E-2</v>
      </c>
      <c r="L53" s="68"/>
      <c r="M53" s="68">
        <v>2721000</v>
      </c>
      <c r="N53" s="68">
        <v>1050000</v>
      </c>
      <c r="O53" s="68">
        <v>1000000</v>
      </c>
      <c r="P53" s="69">
        <f t="shared" si="3"/>
        <v>2.7210000000000001</v>
      </c>
      <c r="Q53" s="108">
        <v>4.0500000000000001E-2</v>
      </c>
      <c r="R53" s="56"/>
      <c r="S53" s="57"/>
      <c r="T53" s="57"/>
    </row>
    <row r="54" spans="1:20" ht="13.5" customHeight="1" x14ac:dyDescent="0.2">
      <c r="A54" s="109"/>
      <c r="B54" s="111"/>
      <c r="C54" s="64" t="s">
        <v>34</v>
      </c>
      <c r="D54" s="65">
        <v>42840</v>
      </c>
      <c r="E54" s="66">
        <v>6.25E-2</v>
      </c>
      <c r="F54" s="66">
        <v>4.8750000000000002E-2</v>
      </c>
      <c r="G54" s="66">
        <v>5.1622800000000003E-2</v>
      </c>
      <c r="H54" s="66">
        <v>0.06</v>
      </c>
      <c r="I54" s="66">
        <v>4.8750000000000002E-2</v>
      </c>
      <c r="J54" s="67">
        <v>5.1191899999999999E-2</v>
      </c>
      <c r="K54" s="67">
        <v>5.2187499999999998E-2</v>
      </c>
      <c r="L54" s="68"/>
      <c r="M54" s="68">
        <v>2449000</v>
      </c>
      <c r="N54" s="68">
        <v>2300000</v>
      </c>
      <c r="O54" s="68">
        <v>1950000</v>
      </c>
      <c r="P54" s="69">
        <f t="shared" si="3"/>
        <v>1.255897435897436</v>
      </c>
      <c r="Q54" s="108">
        <v>5.1499999999999997E-2</v>
      </c>
      <c r="R54" s="56">
        <v>0</v>
      </c>
      <c r="S54" s="57">
        <v>0</v>
      </c>
      <c r="T54" s="57"/>
    </row>
    <row r="55" spans="1:20" ht="13.5" customHeight="1" x14ac:dyDescent="0.2">
      <c r="A55" s="109"/>
      <c r="B55" s="111"/>
      <c r="C55" s="64" t="s">
        <v>35</v>
      </c>
      <c r="D55" s="65">
        <v>44696</v>
      </c>
      <c r="E55" s="66">
        <v>7.0000000000000007E-2</v>
      </c>
      <c r="F55" s="66">
        <v>5.7500000000000002E-2</v>
      </c>
      <c r="G55" s="66">
        <v>5.9145700000000002E-2</v>
      </c>
      <c r="H55" s="66">
        <v>6.3125000000000001E-2</v>
      </c>
      <c r="I55" s="66">
        <v>5.7500000000000002E-2</v>
      </c>
      <c r="J55" s="67">
        <v>5.8697600000000003E-2</v>
      </c>
      <c r="K55" s="67">
        <v>5.9374999999999997E-2</v>
      </c>
      <c r="L55" s="68"/>
      <c r="M55" s="68">
        <v>3433000</v>
      </c>
      <c r="N55" s="68">
        <v>2050000</v>
      </c>
      <c r="O55" s="68">
        <v>2050000</v>
      </c>
      <c r="P55" s="69">
        <f t="shared" si="3"/>
        <v>1.6746341463414633</v>
      </c>
      <c r="Q55" s="108">
        <v>5.8700000000000002E-2</v>
      </c>
      <c r="R55" s="56">
        <v>0</v>
      </c>
      <c r="S55" s="57">
        <v>0</v>
      </c>
      <c r="T55" s="57"/>
    </row>
    <row r="56" spans="1:20" ht="13.5" customHeight="1" x14ac:dyDescent="0.2">
      <c r="A56" s="109"/>
      <c r="B56" s="111"/>
      <c r="C56" s="64" t="s">
        <v>32</v>
      </c>
      <c r="D56" s="65">
        <v>48380</v>
      </c>
      <c r="E56" s="66">
        <v>8.2500000000000004E-2</v>
      </c>
      <c r="F56" s="66">
        <v>6.5937499999999996E-2</v>
      </c>
      <c r="G56" s="66">
        <v>6.7572999999999994E-2</v>
      </c>
      <c r="H56" s="66">
        <v>6.9375000000000006E-2</v>
      </c>
      <c r="I56" s="66">
        <v>6.5937499999999996E-2</v>
      </c>
      <c r="J56" s="67">
        <v>6.7264900000000002E-2</v>
      </c>
      <c r="K56" s="67">
        <v>6.7812499999999998E-2</v>
      </c>
      <c r="L56" s="68"/>
      <c r="M56" s="68">
        <v>3017000</v>
      </c>
      <c r="N56" s="68">
        <v>2100000</v>
      </c>
      <c r="O56" s="68">
        <v>2050000</v>
      </c>
      <c r="P56" s="69">
        <v>4.6167499999999997</v>
      </c>
      <c r="Q56" s="108">
        <v>6.7299999999999999E-2</v>
      </c>
      <c r="R56" s="56">
        <v>1.9887751488813776E-3</v>
      </c>
      <c r="S56" s="57">
        <v>29293528.561597757</v>
      </c>
      <c r="T56" s="62"/>
    </row>
    <row r="57" spans="1:20" ht="13.5" customHeight="1" x14ac:dyDescent="0.2">
      <c r="A57" s="89">
        <v>40989</v>
      </c>
      <c r="B57" s="90">
        <v>40989</v>
      </c>
      <c r="C57" s="91" t="s">
        <v>61</v>
      </c>
      <c r="D57" s="92">
        <v>42815</v>
      </c>
      <c r="E57" s="94">
        <v>5.16E-2</v>
      </c>
      <c r="F57" s="94"/>
      <c r="G57" s="94"/>
      <c r="H57" s="94"/>
      <c r="I57" s="94"/>
      <c r="J57" s="94">
        <v>5.16E-2</v>
      </c>
      <c r="K57" s="95"/>
      <c r="L57" s="96">
        <v>8000000</v>
      </c>
      <c r="M57" s="96">
        <v>2000000</v>
      </c>
      <c r="N57" s="96">
        <v>2000000</v>
      </c>
      <c r="O57" s="96">
        <v>2000000</v>
      </c>
      <c r="P57" s="97">
        <f>M57/O57</f>
        <v>1</v>
      </c>
      <c r="Q57" s="98">
        <v>0.03</v>
      </c>
      <c r="R57" s="56"/>
      <c r="S57" s="57">
        <f>O57*J57/$R$10</f>
        <v>105751049.50865445</v>
      </c>
      <c r="T57" s="57"/>
    </row>
    <row r="58" spans="1:20" ht="13.5" customHeight="1" x14ac:dyDescent="0.2">
      <c r="A58" s="100"/>
      <c r="B58" s="99"/>
      <c r="C58" s="91" t="s">
        <v>62</v>
      </c>
      <c r="D58" s="92">
        <v>43545</v>
      </c>
      <c r="E58" s="94">
        <v>5.4600000000000003E-2</v>
      </c>
      <c r="F58" s="94"/>
      <c r="G58" s="94"/>
      <c r="H58" s="94"/>
      <c r="I58" s="94"/>
      <c r="J58" s="94">
        <v>5.4600000000000003E-2</v>
      </c>
      <c r="K58" s="95"/>
      <c r="L58" s="96"/>
      <c r="M58" s="96">
        <v>3000000</v>
      </c>
      <c r="N58" s="96">
        <v>3000000</v>
      </c>
      <c r="O58" s="96">
        <v>3000000</v>
      </c>
      <c r="P58" s="97">
        <f>M58/O58</f>
        <v>1</v>
      </c>
      <c r="Q58" s="98">
        <v>4.07E-2</v>
      </c>
      <c r="R58" s="56"/>
      <c r="S58" s="57"/>
      <c r="T58" s="57"/>
    </row>
    <row r="59" spans="1:20" ht="13.5" customHeight="1" x14ac:dyDescent="0.2">
      <c r="A59" s="100"/>
      <c r="B59" s="101"/>
      <c r="C59" s="91" t="s">
        <v>63</v>
      </c>
      <c r="D59" s="92">
        <v>44641</v>
      </c>
      <c r="E59" s="94">
        <v>5.91E-2</v>
      </c>
      <c r="F59" s="94"/>
      <c r="G59" s="94"/>
      <c r="H59" s="94"/>
      <c r="I59" s="94"/>
      <c r="J59" s="94">
        <v>5.91E-2</v>
      </c>
      <c r="K59" s="95"/>
      <c r="L59" s="96"/>
      <c r="M59" s="96">
        <v>3342000</v>
      </c>
      <c r="N59" s="96">
        <v>3342000</v>
      </c>
      <c r="O59" s="96">
        <v>3342000</v>
      </c>
      <c r="P59" s="97">
        <f>M59/O59</f>
        <v>1</v>
      </c>
      <c r="Q59" s="98">
        <v>4.8500000000000001E-2</v>
      </c>
      <c r="R59" s="56">
        <f>O59*J59/$O$39</f>
        <v>2.5650935064935068</v>
      </c>
      <c r="S59" s="57">
        <f>O59*J59/$R$10</f>
        <v>202394597.29421762</v>
      </c>
      <c r="T59" s="57"/>
    </row>
    <row r="60" spans="1:20" ht="13.5" customHeight="1" x14ac:dyDescent="0.2">
      <c r="A60" s="60">
        <v>40995</v>
      </c>
      <c r="B60" s="61">
        <v>40997</v>
      </c>
      <c r="C60" s="18" t="s">
        <v>48</v>
      </c>
      <c r="D60" s="19">
        <v>43146</v>
      </c>
      <c r="E60" s="104">
        <v>4.4499999999999998E-2</v>
      </c>
      <c r="F60" s="27">
        <v>5.8125000000000003E-2</v>
      </c>
      <c r="G60" s="27"/>
      <c r="H60" s="27">
        <v>6.5000000000000002E-2</v>
      </c>
      <c r="I60" s="27"/>
      <c r="J60" s="27"/>
      <c r="K60" s="28"/>
      <c r="L60" s="22">
        <v>1000000</v>
      </c>
      <c r="M60" s="22">
        <v>108000</v>
      </c>
      <c r="N60" s="22"/>
      <c r="O60" s="22"/>
      <c r="P60" s="46"/>
      <c r="Q60" s="56"/>
      <c r="R60" s="56"/>
      <c r="S60" s="57"/>
      <c r="T60" s="57"/>
    </row>
    <row r="61" spans="1:20" ht="13.5" customHeight="1" x14ac:dyDescent="0.2">
      <c r="A61" s="16"/>
      <c r="B61" s="17"/>
      <c r="C61" s="18" t="s">
        <v>49</v>
      </c>
      <c r="D61" s="19">
        <v>44576</v>
      </c>
      <c r="E61" s="104">
        <v>5.45E-2</v>
      </c>
      <c r="F61" s="27">
        <v>6.21875E-2</v>
      </c>
      <c r="G61" s="27"/>
      <c r="H61" s="27">
        <v>7.0000000000000007E-2</v>
      </c>
      <c r="I61" s="27"/>
      <c r="J61" s="28"/>
      <c r="K61" s="28"/>
      <c r="L61" s="22"/>
      <c r="M61" s="22">
        <v>483000</v>
      </c>
      <c r="N61" s="22"/>
      <c r="O61" s="22"/>
      <c r="P61" s="46"/>
      <c r="Q61" s="56"/>
      <c r="R61" s="56">
        <f>O61*J61/$O$218</f>
        <v>0</v>
      </c>
      <c r="S61" s="57">
        <f>O61*J61/$R$10</f>
        <v>0</v>
      </c>
      <c r="T61" s="57"/>
    </row>
    <row r="62" spans="1:20" ht="13.5" customHeight="1" x14ac:dyDescent="0.2">
      <c r="A62" s="16"/>
      <c r="B62" s="17"/>
      <c r="C62" s="18" t="s">
        <v>50</v>
      </c>
      <c r="D62" s="19">
        <v>46402</v>
      </c>
      <c r="E62" s="27">
        <v>0.06</v>
      </c>
      <c r="F62" s="27">
        <v>6.5312499999999996E-2</v>
      </c>
      <c r="G62" s="27"/>
      <c r="H62" s="27">
        <v>7.0937500000000001E-2</v>
      </c>
      <c r="I62" s="27"/>
      <c r="J62" s="28"/>
      <c r="K62" s="28"/>
      <c r="L62" s="22"/>
      <c r="M62" s="22">
        <v>801000</v>
      </c>
      <c r="N62" s="22"/>
      <c r="O62" s="22"/>
      <c r="P62" s="46"/>
      <c r="Q62" s="56"/>
      <c r="R62" s="56"/>
      <c r="S62" s="57"/>
      <c r="T62" s="57"/>
    </row>
    <row r="63" spans="1:20" ht="13.5" customHeight="1" x14ac:dyDescent="0.2">
      <c r="A63" s="16"/>
      <c r="B63" s="17"/>
      <c r="C63" s="18" t="s">
        <v>53</v>
      </c>
      <c r="D63" s="19">
        <v>50086</v>
      </c>
      <c r="E63" s="27">
        <v>6.0999999999999999E-2</v>
      </c>
      <c r="F63" s="27">
        <v>6.8125000000000005E-2</v>
      </c>
      <c r="G63" s="27"/>
      <c r="H63" s="27">
        <v>7.2499999999999995E-2</v>
      </c>
      <c r="I63" s="27"/>
      <c r="J63" s="28">
        <v>6.9596500000000006E-2</v>
      </c>
      <c r="K63" s="28"/>
      <c r="L63" s="22"/>
      <c r="M63" s="22">
        <v>792000</v>
      </c>
      <c r="N63" s="22"/>
      <c r="O63" s="22">
        <v>355000</v>
      </c>
      <c r="P63" s="46">
        <f>M63/O63</f>
        <v>2.2309859154929579</v>
      </c>
      <c r="Q63" s="108">
        <v>6.7299999999999999E-2</v>
      </c>
      <c r="R63" s="56">
        <f>O63*J63/$O$218</f>
        <v>9.2001320300979657E-5</v>
      </c>
      <c r="S63" s="57">
        <f>O63*J63/$R$10</f>
        <v>25317495.499814145</v>
      </c>
      <c r="T63" s="57"/>
    </row>
    <row r="64" spans="1:20" ht="13.5" customHeight="1" x14ac:dyDescent="0.2">
      <c r="A64" s="89">
        <v>41002</v>
      </c>
      <c r="B64" s="90">
        <v>41004</v>
      </c>
      <c r="C64" s="91" t="s">
        <v>64</v>
      </c>
      <c r="D64" s="92">
        <v>41368</v>
      </c>
      <c r="E64" s="94">
        <v>0</v>
      </c>
      <c r="F64" s="94">
        <v>3.875E-2</v>
      </c>
      <c r="G64" s="94">
        <v>4.1736099999999998E-2</v>
      </c>
      <c r="H64" s="94">
        <v>4.4999999999999998E-2</v>
      </c>
      <c r="I64" s="94">
        <v>3.875E-2</v>
      </c>
      <c r="J64" s="94">
        <v>3.9166699999999999E-2</v>
      </c>
      <c r="K64" s="95">
        <v>3.9375E-2</v>
      </c>
      <c r="L64" s="96">
        <v>6000000</v>
      </c>
      <c r="M64" s="96">
        <v>6100000</v>
      </c>
      <c r="N64" s="96">
        <v>1300000</v>
      </c>
      <c r="O64" s="96">
        <v>1000000</v>
      </c>
      <c r="P64" s="97">
        <f>M64/O64</f>
        <v>6.1</v>
      </c>
      <c r="Q64" s="98">
        <v>3.95E-2</v>
      </c>
      <c r="R64" s="56"/>
      <c r="S64" s="57">
        <f>O64*J64/$R$10</f>
        <v>40134880.14331992</v>
      </c>
      <c r="T64" s="57"/>
    </row>
    <row r="65" spans="1:23" ht="13.5" customHeight="1" x14ac:dyDescent="0.2">
      <c r="A65" s="89"/>
      <c r="B65" s="90"/>
      <c r="C65" s="91" t="s">
        <v>35</v>
      </c>
      <c r="D65" s="92">
        <v>44696</v>
      </c>
      <c r="E65" s="94">
        <v>7.0000000000000007E-2</v>
      </c>
      <c r="F65" s="94">
        <v>5.7812500000000003E-2</v>
      </c>
      <c r="G65" s="94">
        <v>5.89077E-2</v>
      </c>
      <c r="H65" s="94">
        <v>6.1874999999999999E-2</v>
      </c>
      <c r="I65" s="94">
        <v>5.7812500000000003E-2</v>
      </c>
      <c r="J65" s="94">
        <v>5.86992E-2</v>
      </c>
      <c r="K65" s="95">
        <v>5.9062499999999997E-2</v>
      </c>
      <c r="L65" s="96"/>
      <c r="M65" s="96">
        <v>4188000</v>
      </c>
      <c r="N65" s="96">
        <v>3300000</v>
      </c>
      <c r="O65" s="96">
        <v>3300000</v>
      </c>
      <c r="P65" s="97">
        <f>M65/O65</f>
        <v>1.269090909090909</v>
      </c>
      <c r="Q65" s="98">
        <v>5.8700000000000002E-2</v>
      </c>
      <c r="R65" s="56"/>
      <c r="S65" s="57"/>
      <c r="T65" s="57"/>
    </row>
    <row r="66" spans="1:23" ht="13.5" customHeight="1" x14ac:dyDescent="0.2">
      <c r="A66" s="89"/>
      <c r="B66" s="90"/>
      <c r="C66" s="91" t="s">
        <v>43</v>
      </c>
      <c r="D66" s="92">
        <v>46522</v>
      </c>
      <c r="E66" s="94">
        <v>7.0000000000000007E-2</v>
      </c>
      <c r="F66" s="94">
        <v>6.21875E-2</v>
      </c>
      <c r="G66" s="94">
        <v>6.3441600000000001E-2</v>
      </c>
      <c r="H66" s="94">
        <v>6.5000000000000002E-2</v>
      </c>
      <c r="I66" s="94">
        <v>6.21875E-2</v>
      </c>
      <c r="J66" s="94">
        <v>6.3199099999999994E-2</v>
      </c>
      <c r="K66" s="95">
        <v>6.3437499999999994E-2</v>
      </c>
      <c r="L66" s="96"/>
      <c r="M66" s="96">
        <v>4009000</v>
      </c>
      <c r="N66" s="96">
        <v>2700000</v>
      </c>
      <c r="O66" s="96">
        <v>2700000</v>
      </c>
      <c r="P66" s="97">
        <f t="shared" ref="P66:P72" si="4">M66/O66</f>
        <v>1.4848148148148148</v>
      </c>
      <c r="Q66" s="98">
        <v>6.3200000000000006E-2</v>
      </c>
      <c r="R66" s="56" t="e">
        <f>O66*J66/$O$43</f>
        <v>#DIV/0!</v>
      </c>
      <c r="S66" s="57">
        <f>O66*J66/$R$10</f>
        <v>174855640.63087681</v>
      </c>
      <c r="T66" s="57"/>
    </row>
    <row r="67" spans="1:23" ht="13.5" customHeight="1" x14ac:dyDescent="0.2">
      <c r="A67" s="89"/>
      <c r="B67" s="90"/>
      <c r="C67" s="91" t="s">
        <v>32</v>
      </c>
      <c r="D67" s="92">
        <v>48380</v>
      </c>
      <c r="E67" s="94">
        <v>8.2500000000000004E-2</v>
      </c>
      <c r="F67" s="94">
        <v>6.6562499999999997E-2</v>
      </c>
      <c r="G67" s="94">
        <v>6.7594600000000005E-2</v>
      </c>
      <c r="H67" s="94">
        <v>7.0000000000000007E-2</v>
      </c>
      <c r="I67" s="94">
        <v>6.6562499999999997E-2</v>
      </c>
      <c r="J67" s="94">
        <v>6.7283399999999993E-2</v>
      </c>
      <c r="K67" s="95">
        <v>6.7500000000000004E-2</v>
      </c>
      <c r="L67" s="96"/>
      <c r="M67" s="96">
        <v>5192000</v>
      </c>
      <c r="N67" s="96">
        <v>2150000</v>
      </c>
      <c r="O67" s="96">
        <v>2000000</v>
      </c>
      <c r="P67" s="97">
        <f t="shared" si="4"/>
        <v>2.5960000000000001</v>
      </c>
      <c r="Q67" s="98">
        <v>6.7299999999999999E-2</v>
      </c>
      <c r="R67" s="56" t="e">
        <f>O67*J67/$O$43</f>
        <v>#DIV/0!</v>
      </c>
      <c r="S67" s="57">
        <f>O67*J67/$R$10</f>
        <v>137893220.24245349</v>
      </c>
      <c r="T67" s="57"/>
    </row>
    <row r="68" spans="1:23" ht="13.5" customHeight="1" x14ac:dyDescent="0.2">
      <c r="A68" s="60">
        <v>41009</v>
      </c>
      <c r="B68" s="61">
        <v>41011</v>
      </c>
      <c r="C68" s="18" t="s">
        <v>65</v>
      </c>
      <c r="D68" s="19">
        <v>41193</v>
      </c>
      <c r="E68" s="104">
        <v>0</v>
      </c>
      <c r="F68" s="27">
        <v>3.7812499999999999E-2</v>
      </c>
      <c r="G68" s="27"/>
      <c r="H68" s="27">
        <v>4.7500000000000001E-2</v>
      </c>
      <c r="I68" s="27"/>
      <c r="J68" s="27"/>
      <c r="K68" s="28"/>
      <c r="L68" s="22">
        <v>1000000</v>
      </c>
      <c r="M68" s="22">
        <v>2451000</v>
      </c>
      <c r="N68" s="22"/>
      <c r="O68" s="22">
        <v>0</v>
      </c>
      <c r="P68" s="97" t="e">
        <f t="shared" si="4"/>
        <v>#DIV/0!</v>
      </c>
      <c r="Q68" s="56"/>
      <c r="R68" s="56"/>
      <c r="S68" s="57">
        <f>O68*J68/$R$10</f>
        <v>0</v>
      </c>
      <c r="T68" s="57"/>
    </row>
    <row r="69" spans="1:23" ht="13.5" customHeight="1" x14ac:dyDescent="0.2">
      <c r="A69" s="16"/>
      <c r="B69" s="17"/>
      <c r="C69" s="18" t="s">
        <v>48</v>
      </c>
      <c r="D69" s="19">
        <v>43146</v>
      </c>
      <c r="E69" s="104">
        <v>4.4499999999999998E-2</v>
      </c>
      <c r="F69" s="27">
        <v>5.3124999999999999E-2</v>
      </c>
      <c r="G69" s="27"/>
      <c r="H69" s="27">
        <v>6.5000000000000002E-2</v>
      </c>
      <c r="I69" s="27"/>
      <c r="J69" s="28">
        <v>5.3124999999999999E-2</v>
      </c>
      <c r="K69" s="28"/>
      <c r="L69" s="22"/>
      <c r="M69" s="22">
        <v>2171000</v>
      </c>
      <c r="N69" s="22"/>
      <c r="O69" s="22">
        <v>1000000</v>
      </c>
      <c r="P69" s="97">
        <f t="shared" si="4"/>
        <v>2.1709999999999998</v>
      </c>
      <c r="Q69" s="56"/>
      <c r="R69" s="56"/>
      <c r="S69" s="57"/>
      <c r="T69" s="57"/>
    </row>
    <row r="70" spans="1:23" ht="13.5" customHeight="1" x14ac:dyDescent="0.2">
      <c r="A70" s="16"/>
      <c r="B70" s="17"/>
      <c r="C70" s="18" t="s">
        <v>49</v>
      </c>
      <c r="D70" s="19">
        <v>44576</v>
      </c>
      <c r="E70" s="104">
        <v>5.45E-2</v>
      </c>
      <c r="F70" s="27">
        <v>6.0937499999999999E-2</v>
      </c>
      <c r="G70" s="27"/>
      <c r="H70" s="27">
        <v>7.0000000000000007E-2</v>
      </c>
      <c r="I70" s="27"/>
      <c r="J70" s="28">
        <v>6.1093799999999997E-2</v>
      </c>
      <c r="K70" s="28"/>
      <c r="L70" s="22"/>
      <c r="M70" s="22">
        <v>466000</v>
      </c>
      <c r="N70" s="22"/>
      <c r="O70" s="22">
        <v>100000</v>
      </c>
      <c r="P70" s="97">
        <f t="shared" si="4"/>
        <v>4.66</v>
      </c>
      <c r="Q70" s="56"/>
      <c r="R70" s="56" t="e">
        <f>O70*J70/$O$43</f>
        <v>#DIV/0!</v>
      </c>
      <c r="S70" s="57">
        <f>O70*J70/$R$10</f>
        <v>6260400.6477440242</v>
      </c>
      <c r="T70" s="57"/>
    </row>
    <row r="71" spans="1:23" ht="13.5" customHeight="1" x14ac:dyDescent="0.2">
      <c r="A71" s="16"/>
      <c r="B71" s="17"/>
      <c r="C71" s="18" t="s">
        <v>50</v>
      </c>
      <c r="D71" s="19">
        <v>46402</v>
      </c>
      <c r="E71" s="27">
        <v>0.06</v>
      </c>
      <c r="F71" s="27">
        <v>6.5312499999999996E-2</v>
      </c>
      <c r="G71" s="27"/>
      <c r="H71" s="27">
        <v>7.4999999999999997E-2</v>
      </c>
      <c r="I71" s="27"/>
      <c r="J71" s="28">
        <v>6.5312499999999996E-2</v>
      </c>
      <c r="K71" s="28"/>
      <c r="L71" s="22"/>
      <c r="M71" s="22">
        <v>1341000</v>
      </c>
      <c r="N71" s="22"/>
      <c r="O71" s="22">
        <v>550000</v>
      </c>
      <c r="P71" s="97">
        <f t="shared" si="4"/>
        <v>2.438181818181818</v>
      </c>
      <c r="Q71" s="108"/>
      <c r="R71" s="56" t="e">
        <f>O71*J71/$O$43</f>
        <v>#DIV/0!</v>
      </c>
      <c r="S71" s="57">
        <f>O71*J71/$R$10</f>
        <v>36809844.782642402</v>
      </c>
      <c r="T71" s="57"/>
    </row>
    <row r="72" spans="1:23" ht="13.5" customHeight="1" x14ac:dyDescent="0.2">
      <c r="A72" s="16"/>
      <c r="B72" s="17"/>
      <c r="C72" s="18" t="s">
        <v>53</v>
      </c>
      <c r="D72" s="19">
        <v>50086</v>
      </c>
      <c r="E72" s="27">
        <v>6.0999999999999999E-2</v>
      </c>
      <c r="F72" s="27">
        <v>6.8750000000000006E-2</v>
      </c>
      <c r="G72" s="27"/>
      <c r="H72" s="27">
        <v>0.08</v>
      </c>
      <c r="I72" s="27"/>
      <c r="J72" s="28">
        <v>6.9043400000000005E-2</v>
      </c>
      <c r="K72" s="28"/>
      <c r="L72" s="22"/>
      <c r="M72" s="22">
        <v>639000</v>
      </c>
      <c r="N72" s="22"/>
      <c r="O72" s="22">
        <v>250000</v>
      </c>
      <c r="P72" s="97">
        <f t="shared" si="4"/>
        <v>2.556</v>
      </c>
      <c r="Q72" s="108"/>
      <c r="R72" s="56" t="e">
        <f>O72*J72/$O$43</f>
        <v>#DIV/0!</v>
      </c>
      <c r="S72" s="57">
        <f>O72*J72/$R$10</f>
        <v>17687529.097979248</v>
      </c>
      <c r="T72" s="57"/>
    </row>
    <row r="73" spans="1:23" ht="13.5" customHeight="1" x14ac:dyDescent="0.2">
      <c r="A73" s="89">
        <v>41016</v>
      </c>
      <c r="B73" s="89">
        <v>41018</v>
      </c>
      <c r="C73" s="91" t="s">
        <v>66</v>
      </c>
      <c r="D73" s="92">
        <v>41108</v>
      </c>
      <c r="E73" s="93">
        <v>0</v>
      </c>
      <c r="F73" s="94">
        <v>3.15625E-2</v>
      </c>
      <c r="G73" s="94">
        <v>3.7930400000000003E-2</v>
      </c>
      <c r="H73" s="94">
        <v>4.4999999999999998E-2</v>
      </c>
      <c r="I73" s="94">
        <v>3.15625E-2</v>
      </c>
      <c r="J73" s="95">
        <v>3.3057299999999998E-2</v>
      </c>
      <c r="K73" s="95">
        <v>3.3437500000000002E-2</v>
      </c>
      <c r="L73" s="96">
        <v>6000000</v>
      </c>
      <c r="M73" s="96">
        <v>2080000</v>
      </c>
      <c r="N73" s="96">
        <v>300000</v>
      </c>
      <c r="O73" s="96">
        <v>300000</v>
      </c>
      <c r="P73" s="97">
        <f>M73/O73</f>
        <v>6.9333333333333336</v>
      </c>
      <c r="Q73" s="98">
        <v>3.3099999999999997E-2</v>
      </c>
      <c r="R73" s="56"/>
      <c r="S73" s="57">
        <f>O73*J73/$R$10</f>
        <v>10162337.700355936</v>
      </c>
      <c r="T73" s="57"/>
    </row>
    <row r="74" spans="1:23" ht="13.5" customHeight="1" x14ac:dyDescent="0.2">
      <c r="A74" s="100"/>
      <c r="B74" s="99"/>
      <c r="C74" s="91" t="s">
        <v>67</v>
      </c>
      <c r="D74" s="92">
        <v>41368</v>
      </c>
      <c r="E74" s="93">
        <v>0</v>
      </c>
      <c r="F74" s="94">
        <v>3.875E-2</v>
      </c>
      <c r="G74" s="94">
        <v>4.0850999999999998E-2</v>
      </c>
      <c r="H74" s="94">
        <v>4.7500000000000001E-2</v>
      </c>
      <c r="I74" s="94">
        <v>3.875E-2</v>
      </c>
      <c r="J74" s="95">
        <v>3.95E-2</v>
      </c>
      <c r="K74" s="95">
        <v>0.04</v>
      </c>
      <c r="L74" s="96"/>
      <c r="M74" s="96">
        <v>4150000</v>
      </c>
      <c r="N74" s="96">
        <v>1900000</v>
      </c>
      <c r="O74" s="96">
        <v>1900000</v>
      </c>
      <c r="P74" s="97">
        <f>M74/O74</f>
        <v>2.1842105263157894</v>
      </c>
      <c r="Q74" s="98">
        <v>3.95E-2</v>
      </c>
      <c r="R74" s="56"/>
      <c r="S74" s="57"/>
      <c r="T74" s="57"/>
    </row>
    <row r="75" spans="1:23" ht="13.5" customHeight="1" x14ac:dyDescent="0.2">
      <c r="A75" s="100"/>
      <c r="B75" s="101"/>
      <c r="C75" s="91" t="s">
        <v>35</v>
      </c>
      <c r="D75" s="92">
        <v>44696</v>
      </c>
      <c r="E75" s="94">
        <v>7.0000000000000007E-2</v>
      </c>
      <c r="F75" s="94">
        <v>6.0937499999999999E-2</v>
      </c>
      <c r="G75" s="94">
        <v>6.21383E-2</v>
      </c>
      <c r="H75" s="94">
        <v>6.5000000000000002E-2</v>
      </c>
      <c r="I75" s="94"/>
      <c r="J75" s="95"/>
      <c r="K75" s="95"/>
      <c r="L75" s="96"/>
      <c r="M75" s="96">
        <v>3225000</v>
      </c>
      <c r="N75" s="96">
        <v>0</v>
      </c>
      <c r="O75" s="96">
        <v>0</v>
      </c>
      <c r="P75" s="97"/>
      <c r="Q75" s="98">
        <v>6.0999999999999999E-2</v>
      </c>
      <c r="R75" s="56">
        <v>0</v>
      </c>
      <c r="S75" s="57">
        <v>0</v>
      </c>
      <c r="T75" s="57"/>
    </row>
    <row r="76" spans="1:23" ht="13.5" customHeight="1" x14ac:dyDescent="0.2">
      <c r="A76" s="100"/>
      <c r="B76" s="101"/>
      <c r="C76" s="91" t="s">
        <v>43</v>
      </c>
      <c r="D76" s="92">
        <v>46522</v>
      </c>
      <c r="E76" s="94">
        <v>7.0000000000000007E-2</v>
      </c>
      <c r="F76" s="94">
        <v>6.5625000000000003E-2</v>
      </c>
      <c r="G76" s="94">
        <v>6.5997700000000006E-2</v>
      </c>
      <c r="H76" s="94">
        <v>6.7500000000000004E-2</v>
      </c>
      <c r="I76" s="94"/>
      <c r="J76" s="95"/>
      <c r="K76" s="95"/>
      <c r="L76" s="96"/>
      <c r="M76" s="96">
        <v>3020000</v>
      </c>
      <c r="N76" s="96">
        <v>0</v>
      </c>
      <c r="O76" s="96">
        <v>0</v>
      </c>
      <c r="P76" s="97"/>
      <c r="Q76" s="98">
        <v>6.4699999999999994E-2</v>
      </c>
      <c r="R76" s="56">
        <v>0</v>
      </c>
      <c r="S76" s="57">
        <v>0</v>
      </c>
      <c r="T76" s="57"/>
    </row>
    <row r="77" spans="1:23" ht="13.5" customHeight="1" x14ac:dyDescent="0.2">
      <c r="A77" s="100"/>
      <c r="B77" s="101"/>
      <c r="C77" s="91" t="s">
        <v>32</v>
      </c>
      <c r="D77" s="92">
        <v>48380</v>
      </c>
      <c r="E77" s="94">
        <v>8.2500000000000004E-2</v>
      </c>
      <c r="F77" s="94">
        <v>6.9062499999999999E-2</v>
      </c>
      <c r="G77" s="94">
        <v>6.9961999999999996E-2</v>
      </c>
      <c r="H77" s="94">
        <v>7.2499999999999995E-2</v>
      </c>
      <c r="I77" s="94"/>
      <c r="J77" s="95"/>
      <c r="K77" s="95"/>
      <c r="L77" s="96"/>
      <c r="M77" s="96">
        <v>2362000</v>
      </c>
      <c r="N77" s="96">
        <v>0</v>
      </c>
      <c r="O77" s="96">
        <v>0</v>
      </c>
      <c r="P77" s="97"/>
      <c r="Q77" s="98">
        <v>6.8500000000000005E-2</v>
      </c>
      <c r="R77" s="56">
        <v>1.9887751488813776E-3</v>
      </c>
      <c r="S77" s="57">
        <v>29293528.561597757</v>
      </c>
      <c r="T77" s="62"/>
    </row>
    <row r="78" spans="1:23" s="71" customFormat="1" ht="13.5" customHeight="1" x14ac:dyDescent="0.2">
      <c r="A78" s="242">
        <v>41016</v>
      </c>
      <c r="B78" s="244">
        <v>41024</v>
      </c>
      <c r="C78" s="77" t="s">
        <v>68</v>
      </c>
      <c r="D78" s="78">
        <v>44676</v>
      </c>
      <c r="E78" s="79">
        <v>3.7499999999999999E-2</v>
      </c>
      <c r="F78" s="80"/>
      <c r="G78" s="80"/>
      <c r="H78" s="80"/>
      <c r="I78" s="80"/>
      <c r="J78" s="81"/>
      <c r="K78" s="81"/>
      <c r="L78" s="113">
        <v>20000000</v>
      </c>
      <c r="M78" s="83" t="s">
        <v>71</v>
      </c>
      <c r="N78" s="83" t="s">
        <v>69</v>
      </c>
      <c r="O78" s="83" t="s">
        <v>69</v>
      </c>
      <c r="P78" s="112"/>
      <c r="Q78" s="85"/>
      <c r="R78" s="56"/>
      <c r="U78" s="71">
        <f>U79*5900</f>
        <v>54221000</v>
      </c>
      <c r="V78" s="71">
        <f>U79*2000</f>
        <v>18380000</v>
      </c>
      <c r="W78" s="71">
        <f>U79*2000</f>
        <v>18380000</v>
      </c>
    </row>
    <row r="79" spans="1:23" s="71" customFormat="1" ht="13.5" customHeight="1" x14ac:dyDescent="0.2">
      <c r="A79" s="243"/>
      <c r="B79" s="245"/>
      <c r="C79" s="64"/>
      <c r="D79" s="65"/>
      <c r="E79" s="75"/>
      <c r="F79" s="66"/>
      <c r="G79" s="66"/>
      <c r="H79" s="66"/>
      <c r="I79" s="66"/>
      <c r="J79" s="67"/>
      <c r="K79" s="114"/>
      <c r="L79" s="167"/>
      <c r="M79" s="68">
        <f>U78</f>
        <v>54221000</v>
      </c>
      <c r="N79" s="68">
        <f>V78</f>
        <v>18380000</v>
      </c>
      <c r="O79" s="68">
        <f>W78</f>
        <v>18380000</v>
      </c>
      <c r="P79" s="69">
        <f>M79/O79</f>
        <v>2.95</v>
      </c>
      <c r="Q79" s="70"/>
      <c r="R79" s="56">
        <f>O79*J79/$O$52</f>
        <v>0</v>
      </c>
      <c r="U79" s="71">
        <v>9190</v>
      </c>
    </row>
    <row r="80" spans="1:23" s="71" customFormat="1" ht="13.5" customHeight="1" x14ac:dyDescent="0.2">
      <c r="A80" s="243"/>
      <c r="B80" s="245"/>
      <c r="C80" s="77" t="s">
        <v>39</v>
      </c>
      <c r="D80" s="78">
        <v>51883</v>
      </c>
      <c r="E80" s="79">
        <v>5.2499999999999998E-2</v>
      </c>
      <c r="F80" s="80"/>
      <c r="G80" s="80"/>
      <c r="H80" s="80"/>
      <c r="I80" s="80"/>
      <c r="J80" s="81"/>
      <c r="K80" s="115"/>
      <c r="L80" s="167"/>
      <c r="M80" s="83" t="s">
        <v>69</v>
      </c>
      <c r="N80" s="83" t="s">
        <v>41</v>
      </c>
      <c r="O80" s="83" t="s">
        <v>70</v>
      </c>
      <c r="P80" s="84"/>
      <c r="Q80" s="85"/>
      <c r="R80" s="56"/>
      <c r="U80" s="71">
        <f>U81*2000</f>
        <v>18380000</v>
      </c>
      <c r="V80" s="71">
        <f>U81*500</f>
        <v>4595000</v>
      </c>
      <c r="W80" s="71">
        <f>U81*500</f>
        <v>4595000</v>
      </c>
    </row>
    <row r="81" spans="1:21" s="71" customFormat="1" ht="13.5" customHeight="1" x14ac:dyDescent="0.2">
      <c r="A81" s="243"/>
      <c r="B81" s="245"/>
      <c r="C81" s="64"/>
      <c r="D81" s="65"/>
      <c r="E81" s="75"/>
      <c r="F81" s="66"/>
      <c r="G81" s="66"/>
      <c r="H81" s="66"/>
      <c r="I81" s="66"/>
      <c r="J81" s="67"/>
      <c r="K81" s="114"/>
      <c r="L81" s="167"/>
      <c r="M81" s="68">
        <f>U80</f>
        <v>18380000</v>
      </c>
      <c r="N81" s="68">
        <f>V80</f>
        <v>4595000</v>
      </c>
      <c r="O81" s="68">
        <f>W80</f>
        <v>4595000</v>
      </c>
      <c r="P81" s="69">
        <f t="shared" ref="P81:P97" si="5">M81/O81</f>
        <v>4</v>
      </c>
      <c r="Q81" s="70"/>
      <c r="R81" s="56">
        <f>O81*J81/$O$52</f>
        <v>0</v>
      </c>
      <c r="U81" s="71">
        <v>9190</v>
      </c>
    </row>
    <row r="82" spans="1:21" ht="13.5" customHeight="1" x14ac:dyDescent="0.2">
      <c r="A82" s="89">
        <v>41023</v>
      </c>
      <c r="B82" s="89">
        <v>41026</v>
      </c>
      <c r="C82" s="125" t="s">
        <v>48</v>
      </c>
      <c r="D82" s="126">
        <v>43146</v>
      </c>
      <c r="E82" s="128">
        <v>4.4499999999999998E-2</v>
      </c>
      <c r="F82" s="128">
        <v>5.3124999999999999E-2</v>
      </c>
      <c r="G82" s="128"/>
      <c r="H82" s="128">
        <v>6.25E-2</v>
      </c>
      <c r="I82" s="128"/>
      <c r="J82" s="129">
        <v>5.3124999999999999E-2</v>
      </c>
      <c r="K82" s="129"/>
      <c r="L82" s="130">
        <v>1000000</v>
      </c>
      <c r="M82" s="130">
        <v>2674000</v>
      </c>
      <c r="N82" s="130"/>
      <c r="O82" s="130">
        <v>1500000</v>
      </c>
      <c r="P82" s="131">
        <f t="shared" si="5"/>
        <v>1.7826666666666666</v>
      </c>
      <c r="Q82" s="132"/>
      <c r="R82" s="56"/>
      <c r="S82" s="57"/>
      <c r="T82" s="57"/>
    </row>
    <row r="83" spans="1:21" ht="13.5" customHeight="1" x14ac:dyDescent="0.2">
      <c r="A83" s="89"/>
      <c r="B83" s="89"/>
      <c r="C83" s="91" t="s">
        <v>49</v>
      </c>
      <c r="D83" s="92">
        <v>44576</v>
      </c>
      <c r="E83" s="94">
        <v>5.45E-2</v>
      </c>
      <c r="F83" s="94">
        <v>6.1562499999999999E-2</v>
      </c>
      <c r="G83" s="94"/>
      <c r="H83" s="94">
        <v>6.7500000000000004E-2</v>
      </c>
      <c r="I83" s="94"/>
      <c r="J83" s="95"/>
      <c r="K83" s="95"/>
      <c r="L83" s="96"/>
      <c r="M83" s="96">
        <v>441000</v>
      </c>
      <c r="N83" s="96"/>
      <c r="O83" s="96">
        <v>0</v>
      </c>
      <c r="P83" s="97" t="e">
        <f t="shared" si="5"/>
        <v>#DIV/0!</v>
      </c>
      <c r="Q83" s="98"/>
      <c r="R83" s="56" t="e">
        <f>O83*J83/$O$43</f>
        <v>#DIV/0!</v>
      </c>
      <c r="S83" s="57">
        <f>O83*J83/$R$10</f>
        <v>0</v>
      </c>
      <c r="T83" s="57"/>
    </row>
    <row r="84" spans="1:21" ht="13.5" customHeight="1" x14ac:dyDescent="0.2">
      <c r="A84" s="100"/>
      <c r="B84" s="99"/>
      <c r="C84" s="91" t="s">
        <v>50</v>
      </c>
      <c r="D84" s="92">
        <v>46402</v>
      </c>
      <c r="E84" s="94">
        <v>0.06</v>
      </c>
      <c r="F84" s="94">
        <v>6.5000000000000002E-2</v>
      </c>
      <c r="G84" s="94"/>
      <c r="H84" s="94">
        <v>7.0000000000000007E-2</v>
      </c>
      <c r="I84" s="94"/>
      <c r="J84" s="95">
        <v>6.5302399999999997E-2</v>
      </c>
      <c r="K84" s="95"/>
      <c r="L84" s="96"/>
      <c r="M84" s="96">
        <v>841000</v>
      </c>
      <c r="N84" s="96"/>
      <c r="O84" s="96">
        <v>320000</v>
      </c>
      <c r="P84" s="97">
        <f t="shared" si="5"/>
        <v>2.6281249999999998</v>
      </c>
      <c r="Q84" s="98"/>
      <c r="R84" s="56" t="e">
        <f>O84*J84/$O$43</f>
        <v>#DIV/0!</v>
      </c>
      <c r="S84" s="57">
        <f>O84*J84/$R$10</f>
        <v>21413325.071113043</v>
      </c>
      <c r="T84" s="57"/>
    </row>
    <row r="85" spans="1:21" ht="13.5" customHeight="1" x14ac:dyDescent="0.2">
      <c r="A85" s="143"/>
      <c r="B85" s="144"/>
      <c r="C85" s="145" t="s">
        <v>53</v>
      </c>
      <c r="D85" s="146">
        <v>50086</v>
      </c>
      <c r="E85" s="147">
        <v>6.0999999999999999E-2</v>
      </c>
      <c r="F85" s="147">
        <v>6.906255E-2</v>
      </c>
      <c r="G85" s="147"/>
      <c r="H85" s="147">
        <v>7.2499999999999995E-2</v>
      </c>
      <c r="I85" s="147"/>
      <c r="J85" s="148"/>
      <c r="K85" s="148"/>
      <c r="L85" s="149"/>
      <c r="M85" s="149">
        <v>235000</v>
      </c>
      <c r="N85" s="149"/>
      <c r="O85" s="149">
        <v>0</v>
      </c>
      <c r="P85" s="150" t="e">
        <f t="shared" si="5"/>
        <v>#DIV/0!</v>
      </c>
      <c r="Q85" s="151"/>
      <c r="R85" s="56" t="e">
        <f>O85*J85/$O$43</f>
        <v>#DIV/0!</v>
      </c>
      <c r="S85" s="57">
        <f>O85*J85/$R$10</f>
        <v>0</v>
      </c>
      <c r="T85" s="57"/>
    </row>
    <row r="86" spans="1:21" s="123" customFormat="1" ht="13.5" customHeight="1" x14ac:dyDescent="0.2">
      <c r="A86" s="124">
        <v>41026</v>
      </c>
      <c r="B86" s="124">
        <v>41026</v>
      </c>
      <c r="C86" s="125" t="s">
        <v>74</v>
      </c>
      <c r="D86" s="126">
        <v>42487</v>
      </c>
      <c r="E86" s="127">
        <v>5.0299999999999997E-2</v>
      </c>
      <c r="F86" s="128"/>
      <c r="G86" s="128"/>
      <c r="H86" s="128"/>
      <c r="I86" s="128"/>
      <c r="J86" s="129">
        <v>5.0299999999999997E-2</v>
      </c>
      <c r="K86" s="129"/>
      <c r="L86" s="130">
        <v>2500000</v>
      </c>
      <c r="M86" s="130">
        <v>1000000</v>
      </c>
      <c r="N86" s="130">
        <v>1000000</v>
      </c>
      <c r="O86" s="130">
        <v>1000000</v>
      </c>
      <c r="P86" s="131">
        <f t="shared" si="5"/>
        <v>1</v>
      </c>
      <c r="Q86" s="132"/>
      <c r="R86" s="121"/>
      <c r="S86" s="122">
        <f>O86*J86/$R$10</f>
        <v>51543389.440749206</v>
      </c>
      <c r="T86" s="122"/>
    </row>
    <row r="87" spans="1:21" s="123" customFormat="1" ht="13.5" customHeight="1" x14ac:dyDescent="0.2">
      <c r="A87" s="133"/>
      <c r="B87" s="134"/>
      <c r="C87" s="135" t="s">
        <v>75</v>
      </c>
      <c r="D87" s="136">
        <v>43948</v>
      </c>
      <c r="E87" s="137">
        <v>5.79E-2</v>
      </c>
      <c r="F87" s="138"/>
      <c r="G87" s="138"/>
      <c r="H87" s="138"/>
      <c r="I87" s="138"/>
      <c r="J87" s="139">
        <v>5.79E-2</v>
      </c>
      <c r="K87" s="139"/>
      <c r="L87" s="140"/>
      <c r="M87" s="140">
        <v>1500000</v>
      </c>
      <c r="N87" s="140">
        <v>1500000</v>
      </c>
      <c r="O87" s="140">
        <v>1500000</v>
      </c>
      <c r="P87" s="141">
        <f t="shared" si="5"/>
        <v>1</v>
      </c>
      <c r="Q87" s="142"/>
      <c r="R87" s="121"/>
      <c r="S87" s="122"/>
      <c r="T87" s="122"/>
    </row>
    <row r="88" spans="1:21" ht="13.5" customHeight="1" x14ac:dyDescent="0.2">
      <c r="A88" s="89">
        <v>41031</v>
      </c>
      <c r="B88" s="89">
        <v>41033</v>
      </c>
      <c r="C88" s="91" t="s">
        <v>78</v>
      </c>
      <c r="D88" s="92">
        <v>41396</v>
      </c>
      <c r="E88" s="93">
        <v>0</v>
      </c>
      <c r="F88" s="94">
        <v>0.04</v>
      </c>
      <c r="G88" s="94">
        <v>4.0236899999999999E-2</v>
      </c>
      <c r="H88" s="94">
        <v>4.4999999999999998E-2</v>
      </c>
      <c r="I88" s="94">
        <v>0.04</v>
      </c>
      <c r="J88" s="95">
        <v>4.0468799999999999E-2</v>
      </c>
      <c r="K88" s="95">
        <v>4.0625000000000001E-2</v>
      </c>
      <c r="L88" s="96">
        <v>6000000</v>
      </c>
      <c r="M88" s="96">
        <v>3550000</v>
      </c>
      <c r="N88" s="96">
        <v>900000</v>
      </c>
      <c r="O88" s="96">
        <v>900000</v>
      </c>
      <c r="P88" s="97">
        <f t="shared" si="5"/>
        <v>3.9444444444444446</v>
      </c>
      <c r="Q88" s="98">
        <v>4.0500000000000001E-2</v>
      </c>
      <c r="R88" s="56"/>
      <c r="S88" s="57">
        <f>O88*J88/$R$10</f>
        <v>37322250.631010182</v>
      </c>
      <c r="T88" s="57"/>
    </row>
    <row r="89" spans="1:21" ht="13.5" customHeight="1" x14ac:dyDescent="0.2">
      <c r="A89" s="100"/>
      <c r="B89" s="101"/>
      <c r="C89" s="91" t="s">
        <v>34</v>
      </c>
      <c r="D89" s="92">
        <v>42840</v>
      </c>
      <c r="E89" s="94">
        <v>6.25E-2</v>
      </c>
      <c r="F89" s="94">
        <v>5.1562499999999997E-2</v>
      </c>
      <c r="G89" s="94">
        <v>5.3037599999999997E-2</v>
      </c>
      <c r="H89" s="94">
        <v>5.5625000000000001E-2</v>
      </c>
      <c r="I89" s="94">
        <v>5.1562499999999997E-2</v>
      </c>
      <c r="J89" s="95">
        <v>5.2581299999999997E-2</v>
      </c>
      <c r="K89" s="95">
        <v>5.3124999999999999E-2</v>
      </c>
      <c r="L89" s="96"/>
      <c r="M89" s="96">
        <v>1562000</v>
      </c>
      <c r="N89" s="96">
        <v>1050000</v>
      </c>
      <c r="O89" s="96">
        <v>1050000</v>
      </c>
      <c r="P89" s="97">
        <f t="shared" si="5"/>
        <v>1.4876190476190476</v>
      </c>
      <c r="Q89" s="98">
        <v>5.2600000000000001E-2</v>
      </c>
      <c r="R89" s="56">
        <v>0</v>
      </c>
      <c r="S89" s="57">
        <v>0</v>
      </c>
      <c r="T89" s="57"/>
    </row>
    <row r="90" spans="1:21" ht="13.5" customHeight="1" x14ac:dyDescent="0.2">
      <c r="A90" s="100"/>
      <c r="B90" s="101"/>
      <c r="C90" s="91" t="s">
        <v>35</v>
      </c>
      <c r="D90" s="92">
        <v>44696</v>
      </c>
      <c r="E90" s="94">
        <v>7.0000000000000007E-2</v>
      </c>
      <c r="F90" s="94">
        <v>5.9687499999999998E-2</v>
      </c>
      <c r="G90" s="94">
        <v>6.0570300000000001E-2</v>
      </c>
      <c r="H90" s="94">
        <v>6.2812499999999993E-2</v>
      </c>
      <c r="I90" s="94">
        <v>5.9687499999999998E-2</v>
      </c>
      <c r="J90" s="95">
        <v>6.02964E-2</v>
      </c>
      <c r="K90" s="95">
        <v>6.0937499999999999E-2</v>
      </c>
      <c r="L90" s="96"/>
      <c r="M90" s="96">
        <v>3747500</v>
      </c>
      <c r="N90" s="96">
        <v>2750000</v>
      </c>
      <c r="O90" s="96">
        <v>2750000</v>
      </c>
      <c r="P90" s="97">
        <f t="shared" si="5"/>
        <v>1.3627272727272728</v>
      </c>
      <c r="Q90" s="98">
        <v>6.0299999999999999E-2</v>
      </c>
      <c r="R90" s="56">
        <v>0</v>
      </c>
      <c r="S90" s="57">
        <v>0</v>
      </c>
      <c r="T90" s="57"/>
    </row>
    <row r="91" spans="1:21" ht="13.5" customHeight="1" x14ac:dyDescent="0.2">
      <c r="A91" s="100"/>
      <c r="B91" s="101"/>
      <c r="C91" s="91" t="s">
        <v>32</v>
      </c>
      <c r="D91" s="92">
        <v>48380</v>
      </c>
      <c r="E91" s="94">
        <v>8.2500000000000004E-2</v>
      </c>
      <c r="F91" s="94">
        <v>6.7812499999999998E-2</v>
      </c>
      <c r="G91" s="94">
        <v>6.8773000000000001E-2</v>
      </c>
      <c r="H91" s="94">
        <v>7.0937500000000001E-2</v>
      </c>
      <c r="I91" s="94">
        <v>6.7812499999999998E-2</v>
      </c>
      <c r="J91" s="95">
        <v>6.8396399999999996E-2</v>
      </c>
      <c r="K91" s="95">
        <v>6.8750000000000006E-2</v>
      </c>
      <c r="L91" s="96"/>
      <c r="M91" s="96">
        <v>5862000</v>
      </c>
      <c r="N91" s="96">
        <v>2850000</v>
      </c>
      <c r="O91" s="96">
        <v>2850000</v>
      </c>
      <c r="P91" s="97">
        <f t="shared" si="5"/>
        <v>2.0568421052631578</v>
      </c>
      <c r="Q91" s="98">
        <v>6.8400000000000002E-2</v>
      </c>
      <c r="R91" s="56">
        <v>1.9887751488813776E-3</v>
      </c>
      <c r="S91" s="57">
        <v>29293528.561597757</v>
      </c>
      <c r="T91" s="62"/>
    </row>
    <row r="92" spans="1:21" ht="13.5" customHeight="1" x14ac:dyDescent="0.2">
      <c r="A92" s="60">
        <v>41037</v>
      </c>
      <c r="B92" s="61">
        <v>41039</v>
      </c>
      <c r="C92" s="18" t="s">
        <v>79</v>
      </c>
      <c r="D92" s="19">
        <v>41222</v>
      </c>
      <c r="E92" s="104"/>
      <c r="F92" s="27">
        <v>3.8124999999999999E-2</v>
      </c>
      <c r="G92" s="27"/>
      <c r="H92" s="27">
        <v>0.05</v>
      </c>
      <c r="I92" s="27"/>
      <c r="J92" s="27">
        <v>3.8288700000000002E-2</v>
      </c>
      <c r="K92" s="28"/>
      <c r="L92" s="22">
        <v>1000000</v>
      </c>
      <c r="M92" s="22">
        <v>1596000</v>
      </c>
      <c r="N92" s="22">
        <v>150000</v>
      </c>
      <c r="O92" s="22">
        <v>150000</v>
      </c>
      <c r="P92" s="69">
        <f t="shared" si="5"/>
        <v>10.64</v>
      </c>
      <c r="Q92" s="56"/>
      <c r="R92" s="56"/>
      <c r="S92" s="57">
        <f>O92*J92/$R$10</f>
        <v>5885276.4670378156</v>
      </c>
      <c r="T92" s="57"/>
    </row>
    <row r="93" spans="1:21" ht="13.5" customHeight="1" x14ac:dyDescent="0.2">
      <c r="A93" s="16"/>
      <c r="B93" s="17"/>
      <c r="C93" s="18" t="s">
        <v>48</v>
      </c>
      <c r="D93" s="19">
        <v>43146</v>
      </c>
      <c r="E93" s="104">
        <v>4.4499999999999998E-2</v>
      </c>
      <c r="F93" s="27">
        <v>5.6250000000000001E-2</v>
      </c>
      <c r="G93" s="27"/>
      <c r="H93" s="27">
        <v>6.5000000000000002E-2</v>
      </c>
      <c r="I93" s="27"/>
      <c r="J93" s="28"/>
      <c r="K93" s="28"/>
      <c r="L93" s="22"/>
      <c r="M93" s="22">
        <v>207000</v>
      </c>
      <c r="N93" s="22"/>
      <c r="O93" s="22"/>
      <c r="P93" s="69"/>
      <c r="Q93" s="56"/>
      <c r="R93" s="56"/>
      <c r="S93" s="57"/>
      <c r="T93" s="57"/>
    </row>
    <row r="94" spans="1:21" ht="13.5" customHeight="1" x14ac:dyDescent="0.2">
      <c r="A94" s="16"/>
      <c r="B94" s="17"/>
      <c r="C94" s="18" t="s">
        <v>49</v>
      </c>
      <c r="D94" s="19">
        <v>44576</v>
      </c>
      <c r="E94" s="104">
        <v>5.45E-2</v>
      </c>
      <c r="F94" s="27">
        <v>6.1874999999999999E-2</v>
      </c>
      <c r="G94" s="27"/>
      <c r="H94" s="27">
        <v>7.0000000000000007E-2</v>
      </c>
      <c r="I94" s="27"/>
      <c r="J94" s="28">
        <v>6.2195100000000003E-2</v>
      </c>
      <c r="K94" s="28"/>
      <c r="L94" s="22"/>
      <c r="M94" s="22">
        <v>361000</v>
      </c>
      <c r="N94" s="22">
        <v>225000</v>
      </c>
      <c r="O94" s="22">
        <v>225000</v>
      </c>
      <c r="P94" s="69">
        <f t="shared" si="5"/>
        <v>1.6044444444444443</v>
      </c>
      <c r="Q94" s="56"/>
      <c r="R94" s="56" t="e">
        <f>O94*J94/$O$43</f>
        <v>#DIV/0!</v>
      </c>
      <c r="S94" s="57">
        <f>O94*J94/$R$10</f>
        <v>14339819.257185424</v>
      </c>
      <c r="T94" s="57"/>
    </row>
    <row r="95" spans="1:21" ht="13.5" customHeight="1" x14ac:dyDescent="0.2">
      <c r="A95" s="16"/>
      <c r="B95" s="17"/>
      <c r="C95" s="18" t="s">
        <v>50</v>
      </c>
      <c r="D95" s="19">
        <v>46402</v>
      </c>
      <c r="E95" s="27">
        <v>0.06</v>
      </c>
      <c r="F95" s="27">
        <v>6.5625000000000003E-2</v>
      </c>
      <c r="G95" s="27"/>
      <c r="H95" s="27">
        <v>7.7499999999999999E-2</v>
      </c>
      <c r="I95" s="27"/>
      <c r="J95" s="28">
        <v>6.6106200000000004E-2</v>
      </c>
      <c r="K95" s="28"/>
      <c r="L95" s="22"/>
      <c r="M95" s="22">
        <v>651000</v>
      </c>
      <c r="N95" s="22">
        <v>640000</v>
      </c>
      <c r="O95" s="22">
        <v>640000</v>
      </c>
      <c r="P95" s="69">
        <f t="shared" si="5"/>
        <v>1.0171874999999999</v>
      </c>
      <c r="Q95" s="108"/>
      <c r="R95" s="56" t="e">
        <f>O95*J95/$O$43</f>
        <v>#DIV/0!</v>
      </c>
      <c r="S95" s="57">
        <f>O95*J95/$R$10</f>
        <v>43353798.629637286</v>
      </c>
      <c r="T95" s="57"/>
    </row>
    <row r="96" spans="1:21" ht="13.5" customHeight="1" x14ac:dyDescent="0.2">
      <c r="A96" s="16"/>
      <c r="B96" s="17"/>
      <c r="C96" s="18" t="s">
        <v>53</v>
      </c>
      <c r="D96" s="19">
        <v>50086</v>
      </c>
      <c r="E96" s="27">
        <v>6.0999999999999999E-2</v>
      </c>
      <c r="F96" s="27">
        <v>6.9375000000000006E-2</v>
      </c>
      <c r="G96" s="27"/>
      <c r="H96" s="27">
        <v>7.1874999999999994E-2</v>
      </c>
      <c r="I96" s="27"/>
      <c r="J96" s="28"/>
      <c r="K96" s="28"/>
      <c r="L96" s="22"/>
      <c r="M96" s="22">
        <v>264000</v>
      </c>
      <c r="N96" s="22"/>
      <c r="O96" s="22"/>
      <c r="P96" s="69"/>
      <c r="Q96" s="108"/>
      <c r="R96" s="56" t="e">
        <f>O96*J96/$O$43</f>
        <v>#DIV/0!</v>
      </c>
      <c r="S96" s="57">
        <f>O96*J96/$R$10</f>
        <v>0</v>
      </c>
      <c r="T96" s="57"/>
    </row>
    <row r="97" spans="1:20" ht="13.5" customHeight="1" x14ac:dyDescent="0.2">
      <c r="A97" s="60">
        <v>41038</v>
      </c>
      <c r="B97" s="61">
        <v>41039</v>
      </c>
      <c r="C97" s="18" t="s">
        <v>80</v>
      </c>
      <c r="D97" s="19">
        <v>41222</v>
      </c>
      <c r="E97" s="27"/>
      <c r="F97" s="27"/>
      <c r="G97" s="27"/>
      <c r="H97" s="27"/>
      <c r="I97" s="27"/>
      <c r="J97" s="27">
        <v>3.8288700000000002E-2</v>
      </c>
      <c r="K97" s="28"/>
      <c r="L97" s="22"/>
      <c r="M97" s="22">
        <v>755000</v>
      </c>
      <c r="N97" s="22">
        <v>755000</v>
      </c>
      <c r="O97" s="22">
        <v>755000</v>
      </c>
      <c r="P97" s="69">
        <f t="shared" si="5"/>
        <v>1</v>
      </c>
      <c r="Q97" s="108"/>
      <c r="R97" s="56"/>
      <c r="S97" s="57"/>
      <c r="T97" s="57"/>
    </row>
    <row r="98" spans="1:20" ht="13.5" customHeight="1" x14ac:dyDescent="0.2">
      <c r="A98" s="124">
        <v>41043</v>
      </c>
      <c r="B98" s="124">
        <v>41045</v>
      </c>
      <c r="C98" s="125" t="s">
        <v>81</v>
      </c>
      <c r="D98" s="126">
        <v>41108</v>
      </c>
      <c r="E98" s="127">
        <v>0</v>
      </c>
      <c r="F98" s="128">
        <v>3.5000000000000003E-2</v>
      </c>
      <c r="G98" s="128">
        <v>4.0708599999999998E-2</v>
      </c>
      <c r="H98" s="128">
        <v>4.2500000000000003E-2</v>
      </c>
      <c r="I98" s="128"/>
      <c r="J98" s="129"/>
      <c r="K98" s="129"/>
      <c r="L98" s="130">
        <v>6000000</v>
      </c>
      <c r="M98" s="130">
        <v>2655000</v>
      </c>
      <c r="N98" s="130">
        <v>0</v>
      </c>
      <c r="O98" s="130">
        <v>0</v>
      </c>
      <c r="P98" s="131">
        <v>0</v>
      </c>
      <c r="Q98" s="132">
        <v>3.2899999999999999E-2</v>
      </c>
      <c r="R98" s="56"/>
      <c r="S98" s="57">
        <f>O98*J98/$R$10</f>
        <v>0</v>
      </c>
      <c r="T98" s="57"/>
    </row>
    <row r="99" spans="1:20" ht="13.5" customHeight="1" x14ac:dyDescent="0.2">
      <c r="A99" s="100"/>
      <c r="B99" s="99"/>
      <c r="C99" s="91" t="s">
        <v>82</v>
      </c>
      <c r="D99" s="92">
        <v>41368</v>
      </c>
      <c r="E99" s="93">
        <v>0</v>
      </c>
      <c r="F99" s="94">
        <v>4.1875000000000002E-2</v>
      </c>
      <c r="G99" s="94">
        <v>4.6793800000000003E-2</v>
      </c>
      <c r="H99" s="94">
        <v>0.05</v>
      </c>
      <c r="I99" s="94"/>
      <c r="J99" s="95"/>
      <c r="K99" s="95"/>
      <c r="L99" s="96"/>
      <c r="M99" s="96">
        <v>2780000</v>
      </c>
      <c r="N99" s="96">
        <v>0</v>
      </c>
      <c r="O99" s="96">
        <v>0</v>
      </c>
      <c r="P99" s="97">
        <v>0</v>
      </c>
      <c r="Q99" s="98">
        <v>3.9699999999999999E-2</v>
      </c>
      <c r="R99" s="56"/>
      <c r="S99" s="57"/>
      <c r="T99" s="57"/>
    </row>
    <row r="100" spans="1:20" ht="13.5" customHeight="1" x14ac:dyDescent="0.2">
      <c r="A100" s="100"/>
      <c r="B100" s="101"/>
      <c r="C100" s="91" t="s">
        <v>35</v>
      </c>
      <c r="D100" s="92">
        <v>44696</v>
      </c>
      <c r="E100" s="94">
        <v>7.0000000000000007E-2</v>
      </c>
      <c r="F100" s="94">
        <v>6.2812499999999993E-2</v>
      </c>
      <c r="G100" s="94">
        <v>6.4113299999999998E-2</v>
      </c>
      <c r="H100" s="94">
        <v>6.5937499999999996E-2</v>
      </c>
      <c r="I100" s="94">
        <v>6.2812499999999993E-2</v>
      </c>
      <c r="J100" s="95">
        <v>6.2980800000000003E-2</v>
      </c>
      <c r="K100" s="95">
        <v>6.3125000000000001E-2</v>
      </c>
      <c r="L100" s="96"/>
      <c r="M100" s="96">
        <v>3511000</v>
      </c>
      <c r="N100" s="96">
        <v>500000</v>
      </c>
      <c r="O100" s="96">
        <v>500000</v>
      </c>
      <c r="P100" s="97">
        <f>M100/O100</f>
        <v>7.0220000000000002</v>
      </c>
      <c r="Q100" s="98">
        <v>6.3E-2</v>
      </c>
      <c r="R100" s="56">
        <v>0</v>
      </c>
      <c r="S100" s="57">
        <v>0</v>
      </c>
      <c r="T100" s="57"/>
    </row>
    <row r="101" spans="1:20" ht="13.5" customHeight="1" x14ac:dyDescent="0.2">
      <c r="A101" s="100"/>
      <c r="B101" s="101"/>
      <c r="C101" s="91" t="s">
        <v>43</v>
      </c>
      <c r="D101" s="92">
        <v>46522</v>
      </c>
      <c r="E101" s="94">
        <v>7.0000000000000007E-2</v>
      </c>
      <c r="F101" s="94">
        <v>6.6875000000000004E-2</v>
      </c>
      <c r="G101" s="94">
        <v>6.7849499999999993E-2</v>
      </c>
      <c r="H101" s="94">
        <v>7.0000000000000007E-2</v>
      </c>
      <c r="I101" s="94">
        <v>6.6875000000000004E-2</v>
      </c>
      <c r="J101" s="94">
        <v>6.6875000000000004E-2</v>
      </c>
      <c r="K101" s="94">
        <v>6.6875000000000004E-2</v>
      </c>
      <c r="L101" s="96"/>
      <c r="M101" s="96">
        <v>2100000</v>
      </c>
      <c r="N101" s="96">
        <v>300000</v>
      </c>
      <c r="O101" s="96">
        <v>275000</v>
      </c>
      <c r="P101" s="97">
        <f>M101/O101</f>
        <v>7.6363636363636367</v>
      </c>
      <c r="Q101" s="98">
        <v>6.6900000000000001E-2</v>
      </c>
      <c r="R101" s="56">
        <v>0</v>
      </c>
      <c r="S101" s="57">
        <v>0</v>
      </c>
      <c r="T101" s="57"/>
    </row>
    <row r="102" spans="1:20" ht="13.5" customHeight="1" x14ac:dyDescent="0.2">
      <c r="A102" s="133"/>
      <c r="B102" s="153"/>
      <c r="C102" s="135" t="s">
        <v>32</v>
      </c>
      <c r="D102" s="136">
        <v>48380</v>
      </c>
      <c r="E102" s="138">
        <v>8.2500000000000004E-2</v>
      </c>
      <c r="F102" s="138">
        <v>7.0000000000000007E-2</v>
      </c>
      <c r="G102" s="138">
        <v>7.1698100000000001E-2</v>
      </c>
      <c r="H102" s="138">
        <v>7.4999999999999997E-2</v>
      </c>
      <c r="I102" s="138"/>
      <c r="J102" s="139"/>
      <c r="K102" s="139"/>
      <c r="L102" s="140"/>
      <c r="M102" s="140">
        <v>2263000</v>
      </c>
      <c r="N102" s="140">
        <v>0</v>
      </c>
      <c r="O102" s="140">
        <v>0</v>
      </c>
      <c r="P102" s="141"/>
      <c r="Q102" s="142">
        <v>6.9500000000000006E-2</v>
      </c>
      <c r="R102" s="56">
        <v>1.9887751488813776E-3</v>
      </c>
      <c r="S102" s="57">
        <v>29293528.561597757</v>
      </c>
      <c r="T102" s="62"/>
    </row>
    <row r="103" spans="1:20" ht="13.5" customHeight="1" x14ac:dyDescent="0.2">
      <c r="A103" s="60">
        <v>41051</v>
      </c>
      <c r="B103" s="61">
        <v>41053</v>
      </c>
      <c r="C103" s="18" t="s">
        <v>48</v>
      </c>
      <c r="D103" s="19">
        <v>43146</v>
      </c>
      <c r="E103" s="104">
        <v>4.4499999999999998E-2</v>
      </c>
      <c r="F103" s="27"/>
      <c r="G103" s="27"/>
      <c r="H103" s="27"/>
      <c r="I103" s="27"/>
      <c r="J103" s="28"/>
      <c r="K103" s="28"/>
      <c r="L103" s="22">
        <v>1000000</v>
      </c>
      <c r="M103" s="22">
        <v>145000</v>
      </c>
      <c r="N103" s="22">
        <v>115000</v>
      </c>
      <c r="O103" s="22">
        <v>115000</v>
      </c>
      <c r="P103" s="69"/>
      <c r="Q103" s="56"/>
      <c r="R103" s="56"/>
      <c r="S103" s="57">
        <f>O103*J103/$R$10</f>
        <v>0</v>
      </c>
      <c r="T103" s="57"/>
    </row>
    <row r="104" spans="1:20" ht="13.5" customHeight="1" x14ac:dyDescent="0.2">
      <c r="A104" s="16"/>
      <c r="B104" s="17"/>
      <c r="C104" s="18" t="s">
        <v>49</v>
      </c>
      <c r="D104" s="19">
        <v>44576</v>
      </c>
      <c r="E104" s="104">
        <v>5.45E-2</v>
      </c>
      <c r="F104" s="27"/>
      <c r="G104" s="27"/>
      <c r="H104" s="27"/>
      <c r="I104" s="27"/>
      <c r="J104" s="28"/>
      <c r="K104" s="28"/>
      <c r="L104" s="22"/>
      <c r="M104" s="22">
        <v>306000</v>
      </c>
      <c r="N104" s="22">
        <v>105000</v>
      </c>
      <c r="O104" s="22">
        <v>105000</v>
      </c>
      <c r="P104" s="69"/>
      <c r="Q104" s="56"/>
      <c r="R104" s="56"/>
      <c r="S104" s="57"/>
      <c r="T104" s="57"/>
    </row>
    <row r="105" spans="1:20" ht="13.5" customHeight="1" x14ac:dyDescent="0.2">
      <c r="A105" s="16"/>
      <c r="B105" s="17"/>
      <c r="C105" s="18" t="s">
        <v>50</v>
      </c>
      <c r="D105" s="19">
        <v>46402</v>
      </c>
      <c r="E105" s="27">
        <v>0.06</v>
      </c>
      <c r="F105" s="27"/>
      <c r="G105" s="27"/>
      <c r="H105" s="27"/>
      <c r="I105" s="27"/>
      <c r="J105" s="28"/>
      <c r="K105" s="28"/>
      <c r="L105" s="22"/>
      <c r="M105" s="22">
        <v>124000</v>
      </c>
      <c r="N105" s="22"/>
      <c r="O105" s="22"/>
      <c r="P105" s="69"/>
      <c r="Q105" s="108"/>
      <c r="R105" s="56" t="e">
        <f>O105*J105/$O$43</f>
        <v>#DIV/0!</v>
      </c>
      <c r="S105" s="57">
        <f>O105*J105/$R$10</f>
        <v>0</v>
      </c>
      <c r="T105" s="57"/>
    </row>
    <row r="106" spans="1:20" ht="13.5" customHeight="1" x14ac:dyDescent="0.2">
      <c r="A106" s="16"/>
      <c r="B106" s="17"/>
      <c r="C106" s="18" t="s">
        <v>53</v>
      </c>
      <c r="D106" s="19">
        <v>50086</v>
      </c>
      <c r="E106" s="27">
        <v>6.0999999999999999E-2</v>
      </c>
      <c r="F106" s="27"/>
      <c r="G106" s="27"/>
      <c r="H106" s="27"/>
      <c r="I106" s="27"/>
      <c r="J106" s="28"/>
      <c r="K106" s="28"/>
      <c r="L106" s="22"/>
      <c r="M106" s="22">
        <v>843000</v>
      </c>
      <c r="N106" s="22">
        <v>330000</v>
      </c>
      <c r="O106" s="22">
        <v>330000</v>
      </c>
      <c r="P106" s="69"/>
      <c r="Q106" s="108"/>
      <c r="R106" s="56" t="e">
        <f>O106*J106/$O$43</f>
        <v>#DIV/0!</v>
      </c>
      <c r="S106" s="57">
        <f>O106*J106/$R$10</f>
        <v>0</v>
      </c>
      <c r="T106" s="57"/>
    </row>
    <row r="107" spans="1:20" ht="13.5" customHeight="1" x14ac:dyDescent="0.2">
      <c r="A107" s="60">
        <v>41059</v>
      </c>
      <c r="B107" s="61">
        <v>41059</v>
      </c>
      <c r="C107" s="18" t="s">
        <v>84</v>
      </c>
      <c r="D107" s="19">
        <v>43250</v>
      </c>
      <c r="E107" s="27">
        <v>6.0600000000000001E-2</v>
      </c>
      <c r="F107" s="27"/>
      <c r="G107" s="27"/>
      <c r="H107" s="27"/>
      <c r="I107" s="27"/>
      <c r="J107" s="27">
        <v>6.0600000000000001E-2</v>
      </c>
      <c r="K107" s="28"/>
      <c r="L107" s="22"/>
      <c r="M107" s="22">
        <v>2500000</v>
      </c>
      <c r="N107" s="22">
        <v>2500000</v>
      </c>
      <c r="O107" s="22">
        <v>2500000</v>
      </c>
      <c r="P107" s="69">
        <f>M107/O107</f>
        <v>1</v>
      </c>
      <c r="Q107" s="108"/>
      <c r="R107" s="56"/>
      <c r="S107" s="57"/>
      <c r="T107" s="57"/>
    </row>
    <row r="108" spans="1:20" ht="13.5" customHeight="1" x14ac:dyDescent="0.2">
      <c r="A108" s="124">
        <v>41065</v>
      </c>
      <c r="B108" s="124">
        <v>41067</v>
      </c>
      <c r="C108" s="125" t="s">
        <v>83</v>
      </c>
      <c r="D108" s="126">
        <v>41431</v>
      </c>
      <c r="E108" s="127">
        <v>0</v>
      </c>
      <c r="F108" s="128">
        <v>4.1250000000000002E-2</v>
      </c>
      <c r="G108" s="128">
        <v>4.5435400000000001E-2</v>
      </c>
      <c r="H108" s="128">
        <v>4.8125000000000001E-2</v>
      </c>
      <c r="I108" s="94">
        <v>4.1250000000000002E-2</v>
      </c>
      <c r="J108" s="94">
        <v>4.1250000000000002E-2</v>
      </c>
      <c r="K108" s="94">
        <v>4.1250000000000002E-2</v>
      </c>
      <c r="L108" s="130">
        <v>5000000</v>
      </c>
      <c r="M108" s="130">
        <v>2425000</v>
      </c>
      <c r="N108" s="130">
        <v>1780000</v>
      </c>
      <c r="O108" s="130">
        <v>730000</v>
      </c>
      <c r="P108" s="97">
        <f t="shared" ref="P108:P113" si="6">M108/O108</f>
        <v>3.3219178082191783</v>
      </c>
      <c r="Q108" s="132">
        <v>4.4499999999999998E-2</v>
      </c>
      <c r="R108" s="56"/>
      <c r="S108" s="57">
        <f>O108*J108/$R$10</f>
        <v>30856865.100090668</v>
      </c>
      <c r="T108" s="57"/>
    </row>
    <row r="109" spans="1:20" ht="13.5" customHeight="1" x14ac:dyDescent="0.2">
      <c r="A109" s="100"/>
      <c r="B109" s="99"/>
      <c r="C109" s="91" t="s">
        <v>34</v>
      </c>
      <c r="D109" s="92">
        <v>42840</v>
      </c>
      <c r="E109" s="94">
        <v>6.25E-2</v>
      </c>
      <c r="F109" s="94">
        <v>5.4062499999999999E-2</v>
      </c>
      <c r="G109" s="94">
        <v>5.6661599999999999E-2</v>
      </c>
      <c r="H109" s="94">
        <v>0.06</v>
      </c>
      <c r="I109" s="94">
        <v>5.4062499999999999E-2</v>
      </c>
      <c r="J109" s="94">
        <v>5.5689500000000003E-2</v>
      </c>
      <c r="K109" s="94">
        <v>5.6562500000000002E-2</v>
      </c>
      <c r="L109" s="96"/>
      <c r="M109" s="96">
        <v>2680000</v>
      </c>
      <c r="N109" s="96">
        <v>1550000</v>
      </c>
      <c r="O109" s="96">
        <v>1550000</v>
      </c>
      <c r="P109" s="97">
        <f t="shared" si="6"/>
        <v>1.7290322580645161</v>
      </c>
      <c r="Q109" s="98">
        <v>5.57E-2</v>
      </c>
      <c r="R109" s="56"/>
      <c r="S109" s="57"/>
      <c r="T109" s="57"/>
    </row>
    <row r="110" spans="1:20" ht="13.5" customHeight="1" x14ac:dyDescent="0.2">
      <c r="A110" s="100"/>
      <c r="B110" s="101"/>
      <c r="C110" s="91" t="s">
        <v>35</v>
      </c>
      <c r="D110" s="92">
        <v>44696</v>
      </c>
      <c r="E110" s="94">
        <v>7.0000000000000007E-2</v>
      </c>
      <c r="F110" s="94">
        <v>6.4375000000000002E-2</v>
      </c>
      <c r="G110" s="94">
        <v>6.53035E-2</v>
      </c>
      <c r="H110" s="94">
        <v>6.8750000000000006E-2</v>
      </c>
      <c r="I110" s="94">
        <v>6.4375000000000002E-2</v>
      </c>
      <c r="J110" s="94">
        <v>6.5028199999999994E-2</v>
      </c>
      <c r="K110" s="94">
        <v>6.5625000000000003E-2</v>
      </c>
      <c r="L110" s="96"/>
      <c r="M110" s="96">
        <v>4652000</v>
      </c>
      <c r="N110" s="96">
        <v>3800000</v>
      </c>
      <c r="O110" s="96">
        <v>3500000</v>
      </c>
      <c r="P110" s="97">
        <f t="shared" si="6"/>
        <v>1.3291428571428572</v>
      </c>
      <c r="Q110" s="98">
        <v>6.5100000000000005E-2</v>
      </c>
      <c r="R110" s="56">
        <v>0</v>
      </c>
      <c r="S110" s="57">
        <v>0</v>
      </c>
      <c r="T110" s="57"/>
    </row>
    <row r="111" spans="1:20" ht="13.5" customHeight="1" x14ac:dyDescent="0.2">
      <c r="A111" s="100"/>
      <c r="B111" s="101"/>
      <c r="C111" s="135" t="s">
        <v>32</v>
      </c>
      <c r="D111" s="136">
        <v>48380</v>
      </c>
      <c r="E111" s="138">
        <v>8.2500000000000004E-2</v>
      </c>
      <c r="F111" s="94">
        <v>7.2187500000000002E-2</v>
      </c>
      <c r="G111" s="94">
        <v>7.2802599999999995E-2</v>
      </c>
      <c r="H111" s="94">
        <v>7.3749999999999996E-2</v>
      </c>
      <c r="I111" s="94">
        <v>7.2187500000000002E-2</v>
      </c>
      <c r="J111" s="94">
        <v>7.2480900000000001E-2</v>
      </c>
      <c r="K111" s="94">
        <v>7.2499999999999995E-2</v>
      </c>
      <c r="L111" s="96"/>
      <c r="M111" s="96">
        <v>4410000</v>
      </c>
      <c r="N111" s="96">
        <v>1900000</v>
      </c>
      <c r="O111" s="96">
        <v>1720000</v>
      </c>
      <c r="P111" s="97">
        <f t="shared" si="6"/>
        <v>2.5639534883720931</v>
      </c>
      <c r="Q111" s="98">
        <v>7.2499999999999995E-2</v>
      </c>
      <c r="R111" s="56">
        <v>0</v>
      </c>
      <c r="S111" s="57">
        <v>0</v>
      </c>
      <c r="T111" s="57"/>
    </row>
    <row r="112" spans="1:20" ht="13.5" customHeight="1" x14ac:dyDescent="0.2">
      <c r="A112" s="60">
        <v>41072</v>
      </c>
      <c r="B112" s="61">
        <v>41074</v>
      </c>
      <c r="C112" s="18" t="s">
        <v>85</v>
      </c>
      <c r="D112" s="19"/>
      <c r="E112" s="104"/>
      <c r="F112" s="27"/>
      <c r="G112" s="27"/>
      <c r="H112" s="27"/>
      <c r="I112" s="27"/>
      <c r="J112" s="27"/>
      <c r="K112" s="28"/>
      <c r="L112" s="22">
        <v>1000000</v>
      </c>
      <c r="M112" s="22">
        <v>726000</v>
      </c>
      <c r="N112" s="22"/>
      <c r="O112" s="22"/>
      <c r="P112" s="69"/>
      <c r="Q112" s="56"/>
      <c r="R112" s="56"/>
      <c r="S112" s="57">
        <f>O112*J112/$R$10</f>
        <v>0</v>
      </c>
      <c r="T112" s="57"/>
    </row>
    <row r="113" spans="1:20" ht="13.5" customHeight="1" x14ac:dyDescent="0.2">
      <c r="A113" s="16"/>
      <c r="B113" s="17"/>
      <c r="C113" s="18" t="s">
        <v>48</v>
      </c>
      <c r="D113" s="19">
        <v>43146</v>
      </c>
      <c r="E113" s="104">
        <v>4.4499999999999998E-2</v>
      </c>
      <c r="F113" s="27"/>
      <c r="G113" s="27"/>
      <c r="H113" s="27"/>
      <c r="I113" s="27"/>
      <c r="J113" s="28"/>
      <c r="K113" s="28"/>
      <c r="L113" s="22"/>
      <c r="M113" s="22">
        <v>1146000</v>
      </c>
      <c r="N113" s="22"/>
      <c r="O113" s="22">
        <v>800000</v>
      </c>
      <c r="P113" s="69">
        <f t="shared" si="6"/>
        <v>1.4325000000000001</v>
      </c>
      <c r="Q113" s="56"/>
      <c r="R113" s="56"/>
      <c r="S113" s="57"/>
      <c r="T113" s="57"/>
    </row>
    <row r="114" spans="1:20" ht="13.5" customHeight="1" x14ac:dyDescent="0.2">
      <c r="A114" s="16"/>
      <c r="B114" s="17"/>
      <c r="C114" s="18" t="s">
        <v>49</v>
      </c>
      <c r="D114" s="19">
        <v>44576</v>
      </c>
      <c r="E114" s="104">
        <v>5.45E-2</v>
      </c>
      <c r="F114" s="27"/>
      <c r="G114" s="27"/>
      <c r="H114" s="27"/>
      <c r="I114" s="27"/>
      <c r="J114" s="28"/>
      <c r="K114" s="28"/>
      <c r="L114" s="22"/>
      <c r="M114" s="22">
        <v>101000</v>
      </c>
      <c r="N114" s="22"/>
      <c r="O114" s="22"/>
      <c r="P114" s="69"/>
      <c r="Q114" s="56"/>
      <c r="R114" s="56" t="e">
        <f>O114*J114/$O$43</f>
        <v>#DIV/0!</v>
      </c>
      <c r="S114" s="57">
        <f>O114*J114/$R$10</f>
        <v>0</v>
      </c>
      <c r="T114" s="57"/>
    </row>
    <row r="115" spans="1:20" ht="13.5" customHeight="1" x14ac:dyDescent="0.2">
      <c r="A115" s="16"/>
      <c r="B115" s="17"/>
      <c r="C115" s="18" t="s">
        <v>50</v>
      </c>
      <c r="D115" s="19">
        <v>46402</v>
      </c>
      <c r="E115" s="27">
        <v>0.06</v>
      </c>
      <c r="F115" s="27"/>
      <c r="G115" s="27"/>
      <c r="H115" s="27"/>
      <c r="I115" s="27"/>
      <c r="J115" s="28"/>
      <c r="K115" s="28"/>
      <c r="L115" s="22"/>
      <c r="M115" s="22">
        <v>31000</v>
      </c>
      <c r="N115" s="22"/>
      <c r="O115" s="22"/>
      <c r="P115" s="69"/>
      <c r="Q115" s="108"/>
      <c r="R115" s="56" t="e">
        <f>O115*J115/$O$43</f>
        <v>#DIV/0!</v>
      </c>
      <c r="S115" s="57">
        <f>O115*J115/$R$10</f>
        <v>0</v>
      </c>
      <c r="T115" s="57"/>
    </row>
    <row r="116" spans="1:20" ht="13.5" customHeight="1" x14ac:dyDescent="0.2">
      <c r="A116" s="16"/>
      <c r="B116" s="17"/>
      <c r="C116" s="18" t="s">
        <v>53</v>
      </c>
      <c r="D116" s="19">
        <v>50086</v>
      </c>
      <c r="E116" s="27">
        <v>6.0999999999999999E-2</v>
      </c>
      <c r="F116" s="27"/>
      <c r="G116" s="27"/>
      <c r="H116" s="27"/>
      <c r="I116" s="27"/>
      <c r="J116" s="28"/>
      <c r="K116" s="28"/>
      <c r="L116" s="22"/>
      <c r="M116" s="22">
        <v>259000</v>
      </c>
      <c r="N116" s="22"/>
      <c r="O116" s="22"/>
      <c r="P116" s="69"/>
      <c r="Q116" s="108"/>
      <c r="R116" s="56" t="e">
        <f>O116*J116/$O$43</f>
        <v>#DIV/0!</v>
      </c>
      <c r="S116" s="57">
        <f>O116*J116/$R$10</f>
        <v>0</v>
      </c>
      <c r="T116" s="57"/>
    </row>
    <row r="117" spans="1:20" ht="13.5" customHeight="1" x14ac:dyDescent="0.2">
      <c r="A117" s="124">
        <v>41079</v>
      </c>
      <c r="B117" s="124">
        <v>41081</v>
      </c>
      <c r="C117" s="125" t="s">
        <v>86</v>
      </c>
      <c r="D117" s="126">
        <v>41172</v>
      </c>
      <c r="E117" s="127">
        <v>0</v>
      </c>
      <c r="F117" s="128">
        <v>3.8124999999999999E-2</v>
      </c>
      <c r="G117" s="128">
        <v>4.0517400000000002E-2</v>
      </c>
      <c r="H117" s="128">
        <v>4.2812500000000003E-2</v>
      </c>
      <c r="I117" s="128">
        <v>3.8124999999999999E-2</v>
      </c>
      <c r="J117" s="129">
        <v>3.8978100000000002E-2</v>
      </c>
      <c r="K117" s="129">
        <v>3.9375E-2</v>
      </c>
      <c r="L117" s="130">
        <v>5000000</v>
      </c>
      <c r="M117" s="130">
        <v>1685000</v>
      </c>
      <c r="N117" s="130">
        <v>500000</v>
      </c>
      <c r="O117" s="130">
        <v>500000</v>
      </c>
      <c r="P117" s="97">
        <f t="shared" ref="P117:P122" si="7">M117/O117</f>
        <v>3.37</v>
      </c>
      <c r="Q117" s="132">
        <v>3.9E-2</v>
      </c>
      <c r="R117" s="56"/>
      <c r="S117" s="57">
        <f>O117*J117/$R$10</f>
        <v>19970809.025451954</v>
      </c>
      <c r="T117" s="57"/>
    </row>
    <row r="118" spans="1:20" ht="13.5" customHeight="1" x14ac:dyDescent="0.2">
      <c r="A118" s="100"/>
      <c r="B118" s="99"/>
      <c r="C118" s="125" t="s">
        <v>87</v>
      </c>
      <c r="D118" s="126">
        <v>41431</v>
      </c>
      <c r="E118" s="93">
        <v>0</v>
      </c>
      <c r="F118" s="94">
        <v>4.2500000000000003E-2</v>
      </c>
      <c r="G118" s="94">
        <v>4.4346900000000002E-2</v>
      </c>
      <c r="H118" s="94">
        <v>4.8750000000000002E-2</v>
      </c>
      <c r="I118" s="94">
        <v>4.2500000000000003E-2</v>
      </c>
      <c r="J118" s="95">
        <v>4.3333299999999998E-2</v>
      </c>
      <c r="K118" s="95">
        <v>4.3749999999999997E-2</v>
      </c>
      <c r="L118" s="96"/>
      <c r="M118" s="96">
        <v>1271400</v>
      </c>
      <c r="N118" s="96">
        <v>1250000</v>
      </c>
      <c r="O118" s="96">
        <v>1150000</v>
      </c>
      <c r="P118" s="97">
        <f t="shared" si="7"/>
        <v>1.1055652173913044</v>
      </c>
      <c r="Q118" s="98">
        <v>4.3999999999999997E-2</v>
      </c>
      <c r="R118" s="56"/>
      <c r="S118" s="57"/>
      <c r="T118" s="57"/>
    </row>
    <row r="119" spans="1:20" ht="13.5" customHeight="1" x14ac:dyDescent="0.2">
      <c r="A119" s="100"/>
      <c r="B119" s="101"/>
      <c r="C119" s="91" t="s">
        <v>35</v>
      </c>
      <c r="D119" s="92">
        <v>44696</v>
      </c>
      <c r="E119" s="94">
        <v>7.0000000000000007E-2</v>
      </c>
      <c r="F119" s="94">
        <v>6.3437499999999994E-2</v>
      </c>
      <c r="G119" s="94">
        <v>6.4400700000000005E-2</v>
      </c>
      <c r="H119" s="94">
        <v>6.5625000000000003E-2</v>
      </c>
      <c r="I119" s="94">
        <v>6.3437499999999994E-2</v>
      </c>
      <c r="J119" s="95">
        <v>6.3898899999999995E-2</v>
      </c>
      <c r="K119" s="95">
        <v>6.4062499999999994E-2</v>
      </c>
      <c r="L119" s="96"/>
      <c r="M119" s="96">
        <v>4972000</v>
      </c>
      <c r="N119" s="96">
        <v>950000</v>
      </c>
      <c r="O119" s="96">
        <v>950000</v>
      </c>
      <c r="P119" s="97">
        <f t="shared" si="7"/>
        <v>5.2336842105263157</v>
      </c>
      <c r="Q119" s="98">
        <v>6.3899999999999998E-2</v>
      </c>
      <c r="R119" s="56">
        <v>0</v>
      </c>
      <c r="S119" s="57">
        <v>0</v>
      </c>
      <c r="T119" s="57"/>
    </row>
    <row r="120" spans="1:20" ht="13.5" customHeight="1" x14ac:dyDescent="0.2">
      <c r="A120" s="100"/>
      <c r="B120" s="101"/>
      <c r="C120" s="91" t="s">
        <v>43</v>
      </c>
      <c r="D120" s="92">
        <v>46522</v>
      </c>
      <c r="E120" s="94">
        <v>7.0000000000000007E-2</v>
      </c>
      <c r="F120" s="94">
        <v>6.7187499999999997E-2</v>
      </c>
      <c r="G120" s="94">
        <v>6.7648200000000006E-2</v>
      </c>
      <c r="H120" s="94">
        <v>6.9062499999999999E-2</v>
      </c>
      <c r="I120" s="94">
        <v>6.7187499999999997E-2</v>
      </c>
      <c r="J120" s="94">
        <v>6.7388000000000003E-2</v>
      </c>
      <c r="K120" s="94">
        <v>6.7812499999999998E-2</v>
      </c>
      <c r="L120" s="96"/>
      <c r="M120" s="96">
        <v>2540000</v>
      </c>
      <c r="N120" s="96">
        <v>1600000</v>
      </c>
      <c r="O120" s="96">
        <v>1600000</v>
      </c>
      <c r="P120" s="97">
        <f t="shared" si="7"/>
        <v>1.5874999999999999</v>
      </c>
      <c r="Q120" s="98">
        <v>6.7400000000000002E-2</v>
      </c>
      <c r="R120" s="56">
        <v>0</v>
      </c>
      <c r="S120" s="57">
        <v>0</v>
      </c>
      <c r="T120" s="57"/>
    </row>
    <row r="121" spans="1:20" ht="13.5" customHeight="1" x14ac:dyDescent="0.2">
      <c r="A121" s="133"/>
      <c r="B121" s="153"/>
      <c r="C121" s="135" t="s">
        <v>32</v>
      </c>
      <c r="D121" s="136">
        <v>48380</v>
      </c>
      <c r="E121" s="138">
        <v>8.2500000000000004E-2</v>
      </c>
      <c r="F121" s="138">
        <v>7.03125E-2</v>
      </c>
      <c r="G121" s="138">
        <v>7.1506700000000006E-2</v>
      </c>
      <c r="H121" s="138">
        <v>7.2499999999999995E-2</v>
      </c>
      <c r="I121" s="138">
        <v>7.03125E-2</v>
      </c>
      <c r="J121" s="139">
        <v>7.1447399999999994E-2</v>
      </c>
      <c r="K121" s="139">
        <v>7.1874999999999994E-2</v>
      </c>
      <c r="L121" s="140"/>
      <c r="M121" s="140">
        <v>2848000</v>
      </c>
      <c r="N121" s="140">
        <v>2800000</v>
      </c>
      <c r="O121" s="140">
        <v>2650000</v>
      </c>
      <c r="P121" s="97">
        <f t="shared" si="7"/>
        <v>1.0747169811320754</v>
      </c>
      <c r="Q121" s="142">
        <v>7.1499999999999994E-2</v>
      </c>
      <c r="R121" s="56">
        <v>1.9887751488813776E-3</v>
      </c>
      <c r="S121" s="57">
        <v>29293528.561597757</v>
      </c>
      <c r="T121" s="62"/>
    </row>
    <row r="122" spans="1:20" ht="13.5" customHeight="1" x14ac:dyDescent="0.2">
      <c r="A122" s="60">
        <v>41086</v>
      </c>
      <c r="B122" s="61">
        <v>41088</v>
      </c>
      <c r="C122" s="18" t="s">
        <v>48</v>
      </c>
      <c r="D122" s="19">
        <v>43146</v>
      </c>
      <c r="E122" s="104">
        <v>4.4499999999999998E-2</v>
      </c>
      <c r="F122" s="27">
        <v>5.8125000000000003E-2</v>
      </c>
      <c r="G122" s="27"/>
      <c r="H122" s="27">
        <v>7.0000000000000007E-2</v>
      </c>
      <c r="I122" s="27"/>
      <c r="J122" s="27">
        <v>5.90935E-2</v>
      </c>
      <c r="K122" s="28"/>
      <c r="L122" s="22">
        <v>1000000</v>
      </c>
      <c r="M122" s="22">
        <v>916000</v>
      </c>
      <c r="N122" s="22"/>
      <c r="O122" s="22">
        <v>655000</v>
      </c>
      <c r="P122" s="69">
        <f t="shared" si="7"/>
        <v>1.3984732824427482</v>
      </c>
      <c r="Q122" s="56"/>
      <c r="R122" s="56"/>
      <c r="S122" s="57">
        <f>O122*J122/$R$10</f>
        <v>39663040.377049267</v>
      </c>
      <c r="T122" s="57"/>
    </row>
    <row r="123" spans="1:20" ht="13.5" customHeight="1" x14ac:dyDescent="0.2">
      <c r="A123" s="16"/>
      <c r="B123" s="17"/>
      <c r="C123" s="18" t="s">
        <v>49</v>
      </c>
      <c r="D123" s="19">
        <v>44576</v>
      </c>
      <c r="E123" s="104">
        <v>5.45E-2</v>
      </c>
      <c r="F123" s="27">
        <v>6.5312499999999996E-2</v>
      </c>
      <c r="G123" s="27"/>
      <c r="H123" s="27">
        <v>7.0000000000000007E-2</v>
      </c>
      <c r="I123" s="27"/>
      <c r="J123" s="28"/>
      <c r="K123" s="28"/>
      <c r="L123" s="22"/>
      <c r="M123" s="22">
        <v>266000</v>
      </c>
      <c r="N123" s="22"/>
      <c r="O123" s="22"/>
      <c r="P123" s="69"/>
      <c r="Q123" s="56"/>
      <c r="R123" s="56"/>
      <c r="S123" s="57"/>
      <c r="T123" s="57"/>
    </row>
    <row r="124" spans="1:20" ht="13.5" customHeight="1" x14ac:dyDescent="0.2">
      <c r="A124" s="16"/>
      <c r="B124" s="17"/>
      <c r="C124" s="18" t="s">
        <v>50</v>
      </c>
      <c r="D124" s="19">
        <v>46402</v>
      </c>
      <c r="E124" s="27">
        <v>0.06</v>
      </c>
      <c r="F124" s="27">
        <v>6.9375000000000006E-2</v>
      </c>
      <c r="G124" s="27"/>
      <c r="H124" s="27">
        <v>7.4999999999999997E-2</v>
      </c>
      <c r="I124" s="27"/>
      <c r="J124" s="28"/>
      <c r="K124" s="28"/>
      <c r="L124" s="22"/>
      <c r="M124" s="22">
        <v>261000</v>
      </c>
      <c r="N124" s="22"/>
      <c r="O124" s="22"/>
      <c r="P124" s="69"/>
      <c r="Q124" s="56"/>
      <c r="R124" s="56" t="e">
        <f>O124*J124/$O$43</f>
        <v>#DIV/0!</v>
      </c>
      <c r="S124" s="57">
        <f>O124*J124/$R$10</f>
        <v>0</v>
      </c>
      <c r="T124" s="57"/>
    </row>
    <row r="125" spans="1:20" ht="13.5" customHeight="1" x14ac:dyDescent="0.2">
      <c r="A125" s="16"/>
      <c r="B125" s="17"/>
      <c r="C125" s="18" t="s">
        <v>53</v>
      </c>
      <c r="D125" s="19">
        <v>50086</v>
      </c>
      <c r="E125" s="27">
        <v>6.0999999999999999E-2</v>
      </c>
      <c r="F125" s="27">
        <v>7.2812500000000002E-2</v>
      </c>
      <c r="G125" s="27"/>
      <c r="H125" s="27">
        <v>7.8750000000000001E-2</v>
      </c>
      <c r="I125" s="27"/>
      <c r="J125" s="28"/>
      <c r="K125" s="28"/>
      <c r="L125" s="22"/>
      <c r="M125" s="22">
        <v>150000</v>
      </c>
      <c r="N125" s="22"/>
      <c r="O125" s="22"/>
      <c r="P125" s="69"/>
      <c r="Q125" s="108"/>
      <c r="R125" s="56" t="e">
        <f>O125*J125/$O$43</f>
        <v>#DIV/0!</v>
      </c>
      <c r="S125" s="57">
        <f>O125*J125/$R$10</f>
        <v>0</v>
      </c>
      <c r="T125" s="57"/>
    </row>
    <row r="126" spans="1:20" ht="13.5" customHeight="1" x14ac:dyDescent="0.2">
      <c r="A126" s="60">
        <v>41088</v>
      </c>
      <c r="B126" s="61">
        <v>41088</v>
      </c>
      <c r="C126" s="18" t="s">
        <v>103</v>
      </c>
      <c r="D126" s="19">
        <v>42183</v>
      </c>
      <c r="E126" s="27">
        <v>5.21E-2</v>
      </c>
      <c r="F126" s="27"/>
      <c r="G126" s="27"/>
      <c r="H126" s="27"/>
      <c r="I126" s="27"/>
      <c r="J126" s="27"/>
      <c r="K126" s="28"/>
      <c r="L126" s="22">
        <v>2000000</v>
      </c>
      <c r="M126" s="22">
        <v>1000000</v>
      </c>
      <c r="N126" s="22">
        <v>1000000</v>
      </c>
      <c r="O126" s="22">
        <v>1000000</v>
      </c>
      <c r="P126" s="69">
        <f t="shared" ref="P126:P131" si="8">M126/O126</f>
        <v>1</v>
      </c>
      <c r="Q126" s="108"/>
      <c r="R126" s="56"/>
      <c r="S126" s="57"/>
      <c r="T126" s="57"/>
    </row>
    <row r="127" spans="1:20" ht="13.5" customHeight="1" x14ac:dyDescent="0.2">
      <c r="A127" s="60"/>
      <c r="B127" s="88"/>
      <c r="C127" s="18" t="s">
        <v>104</v>
      </c>
      <c r="D127" s="19">
        <v>44010</v>
      </c>
      <c r="E127" s="27">
        <v>6.2E-2</v>
      </c>
      <c r="F127" s="27"/>
      <c r="G127" s="27"/>
      <c r="H127" s="27"/>
      <c r="I127" s="27"/>
      <c r="J127" s="27"/>
      <c r="K127" s="165"/>
      <c r="L127" s="22"/>
      <c r="M127" s="22">
        <v>1000000</v>
      </c>
      <c r="N127" s="22">
        <v>1000000</v>
      </c>
      <c r="O127" s="22">
        <v>1000000</v>
      </c>
      <c r="P127" s="69">
        <f t="shared" si="8"/>
        <v>1</v>
      </c>
      <c r="Q127" s="108"/>
      <c r="R127" s="56"/>
      <c r="S127" s="57"/>
      <c r="T127" s="57"/>
    </row>
    <row r="128" spans="1:20" ht="13.5" customHeight="1" x14ac:dyDescent="0.2">
      <c r="A128" s="124">
        <v>41093</v>
      </c>
      <c r="B128" s="124">
        <v>41095</v>
      </c>
      <c r="C128" s="125" t="s">
        <v>88</v>
      </c>
      <c r="D128" s="126">
        <v>41459</v>
      </c>
      <c r="E128" s="127">
        <v>0</v>
      </c>
      <c r="F128" s="128">
        <v>4.4062499999999998E-2</v>
      </c>
      <c r="G128" s="128">
        <v>4.5443299999999999E-2</v>
      </c>
      <c r="H128" s="128">
        <v>4.6249999999999999E-2</v>
      </c>
      <c r="I128" s="128">
        <v>4.4062499999999998E-2</v>
      </c>
      <c r="J128" s="94">
        <v>4.4854900000000003E-2</v>
      </c>
      <c r="K128" s="94">
        <v>4.4999999999999998E-2</v>
      </c>
      <c r="L128" s="130">
        <v>6000000</v>
      </c>
      <c r="M128" s="130">
        <v>792700</v>
      </c>
      <c r="N128" s="130">
        <v>600000</v>
      </c>
      <c r="O128" s="130">
        <v>550000</v>
      </c>
      <c r="P128" s="97">
        <f t="shared" si="8"/>
        <v>1.4412727272727273</v>
      </c>
      <c r="Q128" s="132">
        <v>4.4999999999999998E-2</v>
      </c>
      <c r="R128" s="56"/>
      <c r="S128" s="57">
        <f>O128*J128/$R$10</f>
        <v>25280029.194119763</v>
      </c>
      <c r="T128" s="57"/>
    </row>
    <row r="129" spans="1:20" ht="13.5" customHeight="1" x14ac:dyDescent="0.2">
      <c r="A129" s="100"/>
      <c r="B129" s="99"/>
      <c r="C129" s="91" t="s">
        <v>35</v>
      </c>
      <c r="D129" s="92">
        <v>44696</v>
      </c>
      <c r="E129" s="94">
        <v>7.0000000000000007E-2</v>
      </c>
      <c r="F129" s="94">
        <v>6.0312499999999998E-2</v>
      </c>
      <c r="G129" s="94">
        <v>6.1586299999999997E-2</v>
      </c>
      <c r="H129" s="94">
        <v>6.3750000000000001E-2</v>
      </c>
      <c r="I129" s="94">
        <v>6.0312499999999998E-2</v>
      </c>
      <c r="J129" s="94">
        <v>6.0999699999999997E-2</v>
      </c>
      <c r="K129" s="94">
        <v>6.1249999999999999E-2</v>
      </c>
      <c r="L129" s="96"/>
      <c r="M129" s="96">
        <v>6483000</v>
      </c>
      <c r="N129" s="96">
        <v>3300000</v>
      </c>
      <c r="O129" s="96">
        <v>3300000</v>
      </c>
      <c r="P129" s="97">
        <f t="shared" si="8"/>
        <v>1.9645454545454546</v>
      </c>
      <c r="Q129" s="98">
        <v>6.0999999999999999E-2</v>
      </c>
      <c r="R129" s="56"/>
      <c r="S129" s="57"/>
      <c r="T129" s="57"/>
    </row>
    <row r="130" spans="1:20" ht="13.5" customHeight="1" x14ac:dyDescent="0.2">
      <c r="A130" s="100"/>
      <c r="B130" s="101"/>
      <c r="C130" s="91" t="s">
        <v>43</v>
      </c>
      <c r="D130" s="92">
        <v>46522</v>
      </c>
      <c r="E130" s="94">
        <v>7.0000000000000007E-2</v>
      </c>
      <c r="F130" s="94">
        <v>6.4062499999999994E-2</v>
      </c>
      <c r="G130" s="94">
        <v>6.55921E-2</v>
      </c>
      <c r="H130" s="94">
        <v>6.7187499999999997E-2</v>
      </c>
      <c r="I130" s="94">
        <v>6.4062499999999994E-2</v>
      </c>
      <c r="J130" s="94">
        <v>6.5096000000000001E-2</v>
      </c>
      <c r="K130" s="94">
        <v>6.5312499999999996E-2</v>
      </c>
      <c r="L130" s="96"/>
      <c r="M130" s="96">
        <v>3720000</v>
      </c>
      <c r="N130" s="96">
        <v>1900000</v>
      </c>
      <c r="O130" s="96">
        <v>1900000</v>
      </c>
      <c r="P130" s="97">
        <f t="shared" si="8"/>
        <v>1.9578947368421054</v>
      </c>
      <c r="Q130" s="98">
        <v>6.5100000000000005E-2</v>
      </c>
      <c r="R130" s="56">
        <v>0</v>
      </c>
      <c r="S130" s="57">
        <v>0</v>
      </c>
      <c r="T130" s="57"/>
    </row>
    <row r="131" spans="1:20" ht="13.5" customHeight="1" x14ac:dyDescent="0.2">
      <c r="A131" s="100"/>
      <c r="B131" s="101"/>
      <c r="C131" s="135" t="s">
        <v>32</v>
      </c>
      <c r="D131" s="136">
        <v>48380</v>
      </c>
      <c r="E131" s="138">
        <v>8.2500000000000004E-2</v>
      </c>
      <c r="F131" s="94">
        <v>6.7812499999999998E-2</v>
      </c>
      <c r="G131" s="94">
        <v>6.8797399999999995E-2</v>
      </c>
      <c r="H131" s="94">
        <v>7.0000000000000007E-2</v>
      </c>
      <c r="I131" s="94">
        <v>6.7812499999999998E-2</v>
      </c>
      <c r="J131" s="94">
        <v>6.8197900000000006E-2</v>
      </c>
      <c r="K131" s="94">
        <v>6.8437499999999998E-2</v>
      </c>
      <c r="L131" s="96"/>
      <c r="M131" s="96">
        <v>5491500</v>
      </c>
      <c r="N131" s="96">
        <v>1200000</v>
      </c>
      <c r="O131" s="96">
        <v>1200000</v>
      </c>
      <c r="P131" s="97">
        <f t="shared" si="8"/>
        <v>4.5762499999999999</v>
      </c>
      <c r="Q131" s="98">
        <v>6.8199999999999997E-2</v>
      </c>
      <c r="R131" s="56">
        <v>0</v>
      </c>
      <c r="S131" s="57">
        <v>0</v>
      </c>
      <c r="T131" s="57"/>
    </row>
    <row r="132" spans="1:20" ht="13.5" customHeight="1" x14ac:dyDescent="0.2">
      <c r="A132" s="60">
        <v>41100</v>
      </c>
      <c r="B132" s="61">
        <v>41102</v>
      </c>
      <c r="C132" s="18" t="s">
        <v>91</v>
      </c>
      <c r="D132" s="19"/>
      <c r="E132" s="104"/>
      <c r="F132" s="27">
        <v>0.04</v>
      </c>
      <c r="G132" s="27"/>
      <c r="H132" s="27">
        <v>0.05</v>
      </c>
      <c r="I132" s="27"/>
      <c r="J132" s="27"/>
      <c r="K132" s="28"/>
      <c r="L132" s="22">
        <v>1000000</v>
      </c>
      <c r="M132" s="22">
        <v>181000</v>
      </c>
      <c r="N132" s="22"/>
      <c r="O132" s="22"/>
      <c r="P132" s="69"/>
      <c r="Q132" s="56"/>
      <c r="R132" s="56"/>
      <c r="S132" s="57">
        <f>O132*J132/$R$10</f>
        <v>0</v>
      </c>
      <c r="T132" s="57"/>
    </row>
    <row r="133" spans="1:20" ht="13.5" customHeight="1" x14ac:dyDescent="0.2">
      <c r="A133" s="60"/>
      <c r="B133" s="88"/>
      <c r="C133" s="18" t="s">
        <v>48</v>
      </c>
      <c r="D133" s="19">
        <v>43146</v>
      </c>
      <c r="E133" s="104">
        <v>4.4499999999999998E-2</v>
      </c>
      <c r="F133" s="27">
        <v>5.8749999999999997E-2</v>
      </c>
      <c r="G133" s="27"/>
      <c r="H133" s="27">
        <v>6.7500000000000004E-2</v>
      </c>
      <c r="I133" s="27"/>
      <c r="J133" s="27"/>
      <c r="K133" s="28"/>
      <c r="L133" s="22"/>
      <c r="M133" s="22">
        <v>646000</v>
      </c>
      <c r="N133" s="22"/>
      <c r="O133" s="22"/>
      <c r="P133" s="69"/>
      <c r="Q133" s="56"/>
      <c r="R133" s="56"/>
      <c r="S133" s="57"/>
      <c r="T133" s="57"/>
    </row>
    <row r="134" spans="1:20" ht="13.5" customHeight="1" x14ac:dyDescent="0.2">
      <c r="A134" s="16"/>
      <c r="B134" s="17"/>
      <c r="C134" s="18" t="s">
        <v>49</v>
      </c>
      <c r="D134" s="19">
        <v>44576</v>
      </c>
      <c r="E134" s="104">
        <v>5.45E-2</v>
      </c>
      <c r="F134" s="27">
        <v>6.5000000000000002E-2</v>
      </c>
      <c r="G134" s="27"/>
      <c r="H134" s="27">
        <v>7.0000000000000007E-2</v>
      </c>
      <c r="I134" s="27"/>
      <c r="J134" s="28"/>
      <c r="K134" s="28"/>
      <c r="L134" s="22"/>
      <c r="M134" s="22">
        <v>131000</v>
      </c>
      <c r="N134" s="22"/>
      <c r="O134" s="22"/>
      <c r="P134" s="69"/>
      <c r="Q134" s="56"/>
      <c r="R134" s="56"/>
      <c r="S134" s="57"/>
      <c r="T134" s="57"/>
    </row>
    <row r="135" spans="1:20" ht="13.5" customHeight="1" x14ac:dyDescent="0.2">
      <c r="A135" s="16"/>
      <c r="B135" s="17"/>
      <c r="C135" s="18" t="s">
        <v>50</v>
      </c>
      <c r="D135" s="19">
        <v>46402</v>
      </c>
      <c r="E135" s="27">
        <v>0.06</v>
      </c>
      <c r="F135" s="27">
        <v>6.8750000000000006E-2</v>
      </c>
      <c r="G135" s="27"/>
      <c r="H135" s="27">
        <v>7.4999999999999997E-2</v>
      </c>
      <c r="I135" s="27"/>
      <c r="J135" s="28"/>
      <c r="K135" s="28"/>
      <c r="L135" s="22"/>
      <c r="M135" s="22">
        <v>96000</v>
      </c>
      <c r="N135" s="22"/>
      <c r="O135" s="22"/>
      <c r="P135" s="69"/>
      <c r="Q135" s="56"/>
      <c r="R135" s="56" t="e">
        <f>O135*J135/$O$43</f>
        <v>#DIV/0!</v>
      </c>
      <c r="S135" s="57">
        <f>O135*J135/$R$10</f>
        <v>0</v>
      </c>
      <c r="T135" s="57"/>
    </row>
    <row r="136" spans="1:20" ht="13.5" customHeight="1" x14ac:dyDescent="0.2">
      <c r="A136" s="16"/>
      <c r="B136" s="17"/>
      <c r="C136" s="18" t="s">
        <v>53</v>
      </c>
      <c r="D136" s="19">
        <v>50086</v>
      </c>
      <c r="E136" s="27">
        <v>6.0999999999999999E-2</v>
      </c>
      <c r="F136" s="27">
        <v>6.9687499999999999E-2</v>
      </c>
      <c r="G136" s="27"/>
      <c r="H136" s="27">
        <v>0.08</v>
      </c>
      <c r="I136" s="27"/>
      <c r="J136" s="28"/>
      <c r="K136" s="28"/>
      <c r="L136" s="22"/>
      <c r="M136" s="22">
        <v>163000</v>
      </c>
      <c r="N136" s="22"/>
      <c r="O136" s="22"/>
      <c r="P136" s="69"/>
      <c r="Q136" s="108"/>
      <c r="R136" s="56" t="e">
        <f>O136*J136/$O$43</f>
        <v>#DIV/0!</v>
      </c>
      <c r="S136" s="57">
        <f>O136*J136/$R$10</f>
        <v>0</v>
      </c>
      <c r="T136" s="57"/>
    </row>
    <row r="137" spans="1:20" ht="13.5" customHeight="1" x14ac:dyDescent="0.2">
      <c r="A137" s="124">
        <v>41107</v>
      </c>
      <c r="B137" s="124">
        <v>41109</v>
      </c>
      <c r="C137" s="125" t="s">
        <v>89</v>
      </c>
      <c r="D137" s="126">
        <v>41200</v>
      </c>
      <c r="E137" s="127">
        <v>0</v>
      </c>
      <c r="F137" s="128">
        <v>3.90625E-2</v>
      </c>
      <c r="G137" s="128">
        <v>4.1513099999999997E-2</v>
      </c>
      <c r="H137" s="128">
        <v>4.3749999999999997E-2</v>
      </c>
      <c r="I137" s="128">
        <v>3.90625E-2</v>
      </c>
      <c r="J137" s="129">
        <v>3.9890599999999998E-2</v>
      </c>
      <c r="K137" s="129">
        <v>0.04</v>
      </c>
      <c r="L137" s="130">
        <v>6000000</v>
      </c>
      <c r="M137" s="130">
        <v>4330000</v>
      </c>
      <c r="N137" s="130">
        <v>500000</v>
      </c>
      <c r="O137" s="130">
        <v>500000</v>
      </c>
      <c r="P137" s="97">
        <f t="shared" ref="P137:P148" si="9">M137/O137</f>
        <v>8.66</v>
      </c>
      <c r="Q137" s="132">
        <v>3.9899999999999998E-2</v>
      </c>
      <c r="R137" s="56"/>
      <c r="S137" s="57">
        <f>O137*J137/$R$10</f>
        <v>20438337.284544237</v>
      </c>
      <c r="T137" s="57"/>
    </row>
    <row r="138" spans="1:20" ht="13.5" customHeight="1" x14ac:dyDescent="0.2">
      <c r="A138" s="100"/>
      <c r="B138" s="99"/>
      <c r="C138" s="125" t="s">
        <v>90</v>
      </c>
      <c r="D138" s="126">
        <v>41459</v>
      </c>
      <c r="E138" s="93">
        <v>0</v>
      </c>
      <c r="F138" s="94">
        <v>4.2812500000000003E-2</v>
      </c>
      <c r="G138" s="94">
        <v>4.5234900000000001E-2</v>
      </c>
      <c r="H138" s="94">
        <v>4.7500000000000001E-2</v>
      </c>
      <c r="I138" s="94">
        <v>4.2812500000000003E-2</v>
      </c>
      <c r="J138" s="95">
        <v>4.4053799999999997E-2</v>
      </c>
      <c r="K138" s="95">
        <v>4.4062499999999998E-2</v>
      </c>
      <c r="L138" s="96"/>
      <c r="M138" s="96">
        <v>2654500</v>
      </c>
      <c r="N138" s="96">
        <v>1850000</v>
      </c>
      <c r="O138" s="96">
        <v>1000000</v>
      </c>
      <c r="P138" s="97">
        <f t="shared" si="9"/>
        <v>2.6545000000000001</v>
      </c>
      <c r="Q138" s="98">
        <v>4.4999999999999998E-2</v>
      </c>
      <c r="R138" s="56"/>
      <c r="S138" s="57"/>
      <c r="T138" s="57"/>
    </row>
    <row r="139" spans="1:20" ht="13.5" customHeight="1" x14ac:dyDescent="0.2">
      <c r="A139" s="100"/>
      <c r="B139" s="101"/>
      <c r="C139" s="91" t="s">
        <v>34</v>
      </c>
      <c r="D139" s="92">
        <v>42840</v>
      </c>
      <c r="E139" s="94">
        <v>6.25E-2</v>
      </c>
      <c r="F139" s="94">
        <v>5.3749999999999999E-2</v>
      </c>
      <c r="G139" s="94">
        <v>5.5510999999999998E-2</v>
      </c>
      <c r="H139" s="94">
        <v>0.06</v>
      </c>
      <c r="I139" s="94">
        <v>5.3749999999999999E-2</v>
      </c>
      <c r="J139" s="95">
        <v>5.4689300000000003E-2</v>
      </c>
      <c r="K139" s="95">
        <v>5.5E-2</v>
      </c>
      <c r="L139" s="96"/>
      <c r="M139" s="96">
        <v>2800000</v>
      </c>
      <c r="N139" s="96">
        <v>1250000</v>
      </c>
      <c r="O139" s="96">
        <v>1250000</v>
      </c>
      <c r="P139" s="97">
        <f t="shared" si="9"/>
        <v>2.2400000000000002</v>
      </c>
      <c r="Q139" s="98">
        <v>5.4699999999999999E-2</v>
      </c>
      <c r="R139" s="56">
        <v>0</v>
      </c>
      <c r="S139" s="57">
        <v>0</v>
      </c>
      <c r="T139" s="57"/>
    </row>
    <row r="140" spans="1:20" ht="13.5" customHeight="1" x14ac:dyDescent="0.2">
      <c r="A140" s="100"/>
      <c r="B140" s="101"/>
      <c r="C140" s="91" t="s">
        <v>32</v>
      </c>
      <c r="D140" s="155">
        <v>48380</v>
      </c>
      <c r="E140" s="156">
        <v>8.2500000000000004E-2</v>
      </c>
      <c r="F140" s="94">
        <v>6.5625000000000003E-2</v>
      </c>
      <c r="G140" s="94">
        <v>6.7163299999999995E-2</v>
      </c>
      <c r="H140" s="94">
        <v>6.8750000000000006E-2</v>
      </c>
      <c r="I140" s="94">
        <v>6.5625000000000003E-2</v>
      </c>
      <c r="J140" s="94">
        <v>6.6704799999999995E-2</v>
      </c>
      <c r="K140" s="94">
        <v>6.6875000000000004E-2</v>
      </c>
      <c r="L140" s="96"/>
      <c r="M140" s="96">
        <v>12502200</v>
      </c>
      <c r="N140" s="96">
        <v>6450000</v>
      </c>
      <c r="O140" s="96">
        <v>4500000</v>
      </c>
      <c r="P140" s="97">
        <f t="shared" si="9"/>
        <v>2.7782666666666667</v>
      </c>
      <c r="Q140" s="98">
        <v>6.6799999999999998E-2</v>
      </c>
      <c r="R140" s="56">
        <v>0</v>
      </c>
      <c r="S140" s="57">
        <v>0</v>
      </c>
      <c r="T140" s="57"/>
    </row>
    <row r="141" spans="1:20" ht="13.5" customHeight="1" x14ac:dyDescent="0.2">
      <c r="A141" s="133"/>
      <c r="B141" s="153"/>
      <c r="C141" s="135" t="s">
        <v>47</v>
      </c>
      <c r="D141" s="136">
        <v>51971</v>
      </c>
      <c r="E141" s="138">
        <v>6.3750000000000001E-2</v>
      </c>
      <c r="F141" s="138">
        <v>6.5000000000000002E-2</v>
      </c>
      <c r="G141" s="138">
        <v>6.9052799999999998E-2</v>
      </c>
      <c r="H141" s="138">
        <v>7.2499999999999995E-2</v>
      </c>
      <c r="I141" s="138">
        <v>6.5000000000000002E-2</v>
      </c>
      <c r="J141" s="139">
        <v>6.7993499999999998E-2</v>
      </c>
      <c r="K141" s="139">
        <v>6.8750000000000006E-2</v>
      </c>
      <c r="L141" s="140"/>
      <c r="M141" s="140">
        <v>5403000</v>
      </c>
      <c r="N141" s="140">
        <v>1750000</v>
      </c>
      <c r="O141" s="140">
        <v>1750000</v>
      </c>
      <c r="P141" s="141">
        <f t="shared" si="9"/>
        <v>3.0874285714285716</v>
      </c>
      <c r="Q141" s="142">
        <v>6.8000000000000005E-2</v>
      </c>
      <c r="R141" s="56">
        <v>1.9887751488813776E-3</v>
      </c>
      <c r="S141" s="57">
        <v>29293528.561597757</v>
      </c>
      <c r="T141" s="62"/>
    </row>
    <row r="142" spans="1:20" ht="13.5" customHeight="1" x14ac:dyDescent="0.2">
      <c r="A142" s="60">
        <v>41114</v>
      </c>
      <c r="B142" s="61">
        <v>41116</v>
      </c>
      <c r="C142" s="18" t="s">
        <v>97</v>
      </c>
      <c r="D142" s="19"/>
      <c r="E142" s="104"/>
      <c r="F142" s="27">
        <v>4.1562500000000002E-2</v>
      </c>
      <c r="G142" s="27"/>
      <c r="H142" s="27">
        <v>0.05</v>
      </c>
      <c r="I142" s="27"/>
      <c r="J142" s="27"/>
      <c r="K142" s="28"/>
      <c r="L142" s="22">
        <v>1000000</v>
      </c>
      <c r="M142" s="22">
        <v>341000</v>
      </c>
      <c r="N142" s="22"/>
      <c r="O142" s="22"/>
      <c r="P142" s="69"/>
      <c r="Q142" s="56"/>
      <c r="R142" s="56"/>
      <c r="S142" s="57">
        <f>O142*J142/$R$10</f>
        <v>0</v>
      </c>
      <c r="T142" s="57"/>
    </row>
    <row r="143" spans="1:20" ht="13.5" customHeight="1" x14ac:dyDescent="0.2">
      <c r="A143" s="60"/>
      <c r="B143" s="88"/>
      <c r="C143" s="18" t="s">
        <v>48</v>
      </c>
      <c r="D143" s="19">
        <v>43146</v>
      </c>
      <c r="E143" s="104">
        <v>4.4499999999999998E-2</v>
      </c>
      <c r="F143" s="27">
        <v>5.6250000000000001E-2</v>
      </c>
      <c r="G143" s="27"/>
      <c r="H143" s="27">
        <v>6.2812499999999993E-2</v>
      </c>
      <c r="I143" s="27"/>
      <c r="J143" s="27"/>
      <c r="K143" s="28"/>
      <c r="L143" s="22"/>
      <c r="M143" s="22">
        <v>731000</v>
      </c>
      <c r="N143" s="22"/>
      <c r="O143" s="22"/>
      <c r="P143" s="69"/>
      <c r="Q143" s="56"/>
      <c r="R143" s="56"/>
      <c r="S143" s="57"/>
      <c r="T143" s="57"/>
    </row>
    <row r="144" spans="1:20" ht="13.5" customHeight="1" x14ac:dyDescent="0.2">
      <c r="A144" s="16"/>
      <c r="B144" s="17"/>
      <c r="C144" s="18" t="s">
        <v>49</v>
      </c>
      <c r="D144" s="19">
        <v>44576</v>
      </c>
      <c r="E144" s="104">
        <v>5.45E-2</v>
      </c>
      <c r="F144" s="27">
        <v>6.25E-2</v>
      </c>
      <c r="G144" s="27"/>
      <c r="H144" s="27">
        <v>6.6250000000000003E-2</v>
      </c>
      <c r="I144" s="27"/>
      <c r="J144" s="28"/>
      <c r="K144" s="28"/>
      <c r="L144" s="22"/>
      <c r="M144" s="22">
        <v>291000</v>
      </c>
      <c r="N144" s="22"/>
      <c r="O144" s="22"/>
      <c r="P144" s="69"/>
      <c r="Q144" s="56"/>
      <c r="R144" s="56"/>
      <c r="S144" s="57"/>
      <c r="T144" s="57"/>
    </row>
    <row r="145" spans="1:20" ht="13.5" customHeight="1" x14ac:dyDescent="0.2">
      <c r="A145" s="16"/>
      <c r="B145" s="17"/>
      <c r="C145" s="18" t="s">
        <v>50</v>
      </c>
      <c r="D145" s="19">
        <v>46402</v>
      </c>
      <c r="E145" s="27">
        <v>0.06</v>
      </c>
      <c r="F145" s="27">
        <v>6.6875000000000004E-2</v>
      </c>
      <c r="G145" s="27"/>
      <c r="H145" s="27">
        <v>7.0000000000000007E-2</v>
      </c>
      <c r="I145" s="27"/>
      <c r="J145" s="28"/>
      <c r="K145" s="28"/>
      <c r="L145" s="22"/>
      <c r="M145" s="22">
        <v>106000</v>
      </c>
      <c r="N145" s="22"/>
      <c r="O145" s="22"/>
      <c r="P145" s="69"/>
      <c r="Q145" s="56"/>
      <c r="R145" s="56" t="e">
        <f>O145*J145/$O$43</f>
        <v>#DIV/0!</v>
      </c>
      <c r="S145" s="57">
        <f>O145*J145/$R$10</f>
        <v>0</v>
      </c>
      <c r="T145" s="57"/>
    </row>
    <row r="146" spans="1:20" ht="13.5" customHeight="1" x14ac:dyDescent="0.2">
      <c r="A146" s="16"/>
      <c r="B146" s="17"/>
      <c r="C146" s="18" t="s">
        <v>53</v>
      </c>
      <c r="D146" s="19">
        <v>50086</v>
      </c>
      <c r="E146" s="27">
        <v>6.0999999999999999E-2</v>
      </c>
      <c r="F146" s="27">
        <v>6.6562499999999997E-2</v>
      </c>
      <c r="G146" s="27"/>
      <c r="H146" s="27">
        <v>7.3749999999999996E-2</v>
      </c>
      <c r="I146" s="27"/>
      <c r="J146" s="28"/>
      <c r="K146" s="28"/>
      <c r="L146" s="22"/>
      <c r="M146" s="22">
        <v>530000</v>
      </c>
      <c r="N146" s="22"/>
      <c r="O146" s="22">
        <v>460000</v>
      </c>
      <c r="P146" s="69">
        <f>M146/O146</f>
        <v>1.1521739130434783</v>
      </c>
      <c r="Q146" s="108"/>
      <c r="R146" s="56" t="e">
        <f>O146*J146/$O$43</f>
        <v>#DIV/0!</v>
      </c>
      <c r="S146" s="57">
        <f>O146*J146/$R$10</f>
        <v>0</v>
      </c>
      <c r="T146" s="57"/>
    </row>
    <row r="147" spans="1:20" ht="13.5" customHeight="1" x14ac:dyDescent="0.2">
      <c r="A147" s="124">
        <v>41128</v>
      </c>
      <c r="B147" s="124">
        <v>41130</v>
      </c>
      <c r="C147" s="125" t="s">
        <v>96</v>
      </c>
      <c r="D147" s="126"/>
      <c r="E147" s="94"/>
      <c r="F147" s="128">
        <v>4.6249999999999999E-2</v>
      </c>
      <c r="G147" s="128"/>
      <c r="H147" s="128">
        <v>0.05</v>
      </c>
      <c r="I147" s="128"/>
      <c r="J147" s="94"/>
      <c r="K147" s="94"/>
      <c r="L147" s="130">
        <v>1000000</v>
      </c>
      <c r="M147" s="130">
        <v>336000</v>
      </c>
      <c r="N147" s="130"/>
      <c r="O147" s="130"/>
      <c r="P147" s="97"/>
      <c r="Q147" s="132"/>
      <c r="R147" s="56"/>
      <c r="S147" s="57">
        <f>O147*J147/$R$10</f>
        <v>0</v>
      </c>
      <c r="T147" s="57"/>
    </row>
    <row r="148" spans="1:20" ht="13.5" customHeight="1" x14ac:dyDescent="0.2">
      <c r="A148" s="89"/>
      <c r="B148" s="89"/>
      <c r="C148" s="91" t="s">
        <v>48</v>
      </c>
      <c r="D148" s="92">
        <v>43146</v>
      </c>
      <c r="E148" s="94">
        <v>4.4499999999999998E-2</v>
      </c>
      <c r="F148" s="94">
        <v>5.6562500000000002E-2</v>
      </c>
      <c r="G148" s="94"/>
      <c r="H148" s="94">
        <v>6.25E-2</v>
      </c>
      <c r="I148" s="94">
        <v>5.6562500000000002E-2</v>
      </c>
      <c r="J148" s="94">
        <v>5.6596E-2</v>
      </c>
      <c r="K148" s="94"/>
      <c r="L148" s="96"/>
      <c r="M148" s="96">
        <v>726000</v>
      </c>
      <c r="N148" s="96"/>
      <c r="O148" s="96">
        <v>40000</v>
      </c>
      <c r="P148" s="97">
        <f t="shared" si="9"/>
        <v>18.149999999999999</v>
      </c>
      <c r="Q148" s="98"/>
      <c r="R148" s="56"/>
      <c r="S148" s="57"/>
      <c r="T148" s="57"/>
    </row>
    <row r="149" spans="1:20" ht="13.5" customHeight="1" x14ac:dyDescent="0.2">
      <c r="A149" s="89"/>
      <c r="B149" s="89"/>
      <c r="C149" s="91" t="s">
        <v>49</v>
      </c>
      <c r="D149" s="92">
        <v>44576</v>
      </c>
      <c r="E149" s="94">
        <v>5.45E-2</v>
      </c>
      <c r="F149" s="94">
        <v>6.0937499999999999E-2</v>
      </c>
      <c r="G149" s="94"/>
      <c r="H149" s="94">
        <v>6.5000000000000002E-2</v>
      </c>
      <c r="I149" s="94"/>
      <c r="J149" s="94"/>
      <c r="K149" s="94"/>
      <c r="L149" s="96"/>
      <c r="M149" s="96">
        <v>176000</v>
      </c>
      <c r="N149" s="96"/>
      <c r="O149" s="96"/>
      <c r="P149" s="97"/>
      <c r="Q149" s="98"/>
      <c r="R149" s="56"/>
      <c r="S149" s="57"/>
      <c r="T149" s="57"/>
    </row>
    <row r="150" spans="1:20" ht="13.5" customHeight="1" x14ac:dyDescent="0.2">
      <c r="A150" s="89"/>
      <c r="B150" s="89"/>
      <c r="C150" s="91" t="s">
        <v>50</v>
      </c>
      <c r="D150" s="92">
        <v>46402</v>
      </c>
      <c r="E150" s="94">
        <v>0.06</v>
      </c>
      <c r="F150" s="94">
        <v>6.5937499999999996E-2</v>
      </c>
      <c r="G150" s="94"/>
      <c r="H150" s="94">
        <v>7.0000000000000007E-2</v>
      </c>
      <c r="I150" s="94"/>
      <c r="J150" s="94"/>
      <c r="K150" s="94"/>
      <c r="L150" s="96"/>
      <c r="M150" s="96">
        <v>106000</v>
      </c>
      <c r="N150" s="96"/>
      <c r="O150" s="96"/>
      <c r="P150" s="97"/>
      <c r="Q150" s="98"/>
      <c r="R150" s="56" t="e">
        <f>O150*J150/$O$43</f>
        <v>#DIV/0!</v>
      </c>
      <c r="S150" s="57">
        <f>O150*J150/$R$10</f>
        <v>0</v>
      </c>
      <c r="T150" s="57"/>
    </row>
    <row r="151" spans="1:20" ht="13.5" customHeight="1" x14ac:dyDescent="0.2">
      <c r="A151" s="89"/>
      <c r="B151" s="89"/>
      <c r="C151" s="91" t="s">
        <v>53</v>
      </c>
      <c r="D151" s="92">
        <v>50086</v>
      </c>
      <c r="E151" s="94">
        <v>6.0999999999999999E-2</v>
      </c>
      <c r="F151" s="94">
        <v>6.6562499999999997E-2</v>
      </c>
      <c r="G151" s="94"/>
      <c r="H151" s="94">
        <v>7.3749999999999996E-2</v>
      </c>
      <c r="I151" s="94">
        <v>6.6562499999999997E-2</v>
      </c>
      <c r="J151" s="94">
        <v>6.7161600000000002E-2</v>
      </c>
      <c r="K151" s="94"/>
      <c r="L151" s="96"/>
      <c r="M151" s="96">
        <v>589000</v>
      </c>
      <c r="N151" s="96"/>
      <c r="O151" s="96">
        <v>500000</v>
      </c>
      <c r="P151" s="97">
        <f>M151/O151</f>
        <v>1.1779999999999999</v>
      </c>
      <c r="Q151" s="98"/>
      <c r="R151" s="56" t="e">
        <f>O151*J151/$O$43</f>
        <v>#DIV/0!</v>
      </c>
      <c r="S151" s="57">
        <f>O151*J151/$R$10</f>
        <v>34410899.644769609</v>
      </c>
      <c r="T151" s="57"/>
    </row>
    <row r="152" spans="1:20" s="71" customFormat="1" ht="13.5" customHeight="1" x14ac:dyDescent="0.2">
      <c r="A152" s="76">
        <v>41130</v>
      </c>
      <c r="B152" s="76">
        <v>41134</v>
      </c>
      <c r="C152" s="77" t="s">
        <v>92</v>
      </c>
      <c r="D152" s="78">
        <v>41225</v>
      </c>
      <c r="E152" s="66"/>
      <c r="F152" s="80">
        <v>3.90625E-2</v>
      </c>
      <c r="G152" s="80">
        <v>4.0763199999999999E-2</v>
      </c>
      <c r="H152" s="80">
        <v>4.2187500000000003E-2</v>
      </c>
      <c r="I152" s="80">
        <v>3.90625E-2</v>
      </c>
      <c r="J152" s="66">
        <v>4.04886E-2</v>
      </c>
      <c r="K152" s="66">
        <v>4.1250000000000002E-2</v>
      </c>
      <c r="L152" s="82">
        <v>6000000</v>
      </c>
      <c r="M152" s="82">
        <v>1169000</v>
      </c>
      <c r="N152" s="82">
        <v>850000</v>
      </c>
      <c r="O152" s="82">
        <v>850000</v>
      </c>
      <c r="P152" s="69">
        <f>M152/O152</f>
        <v>1.3752941176470588</v>
      </c>
      <c r="Q152" s="157">
        <v>4.0500000000000001E-2</v>
      </c>
      <c r="R152" s="108"/>
      <c r="S152" s="158">
        <f>O152*J152/$R$10</f>
        <v>35266038.291334204</v>
      </c>
      <c r="T152" s="158"/>
    </row>
    <row r="153" spans="1:20" s="71" customFormat="1" ht="13.5" customHeight="1" x14ac:dyDescent="0.2">
      <c r="A153" s="73"/>
      <c r="B153" s="73"/>
      <c r="C153" s="64" t="s">
        <v>93</v>
      </c>
      <c r="D153" s="65">
        <v>41498</v>
      </c>
      <c r="E153" s="66"/>
      <c r="F153" s="66">
        <v>4.3124999999999997E-2</v>
      </c>
      <c r="G153" s="66">
        <v>4.5221900000000002E-2</v>
      </c>
      <c r="H153" s="66">
        <v>4.6875E-2</v>
      </c>
      <c r="I153" s="66">
        <v>4.3124999999999997E-2</v>
      </c>
      <c r="J153" s="66">
        <v>4.4704199999999999E-2</v>
      </c>
      <c r="K153" s="66">
        <v>4.5312499999999999E-2</v>
      </c>
      <c r="L153" s="68"/>
      <c r="M153" s="68">
        <v>531000</v>
      </c>
      <c r="N153" s="68">
        <v>500000</v>
      </c>
      <c r="O153" s="68">
        <v>450000</v>
      </c>
      <c r="P153" s="69">
        <f>M153/O153</f>
        <v>1.18</v>
      </c>
      <c r="Q153" s="108">
        <v>4.4999999999999998E-2</v>
      </c>
      <c r="R153" s="108"/>
      <c r="S153" s="158"/>
      <c r="T153" s="158"/>
    </row>
    <row r="154" spans="1:20" s="71" customFormat="1" ht="13.5" customHeight="1" x14ac:dyDescent="0.2">
      <c r="A154" s="73"/>
      <c r="B154" s="73"/>
      <c r="C154" s="64" t="s">
        <v>94</v>
      </c>
      <c r="D154" s="65">
        <v>45061</v>
      </c>
      <c r="E154" s="66">
        <v>5.6250000000000001E-2</v>
      </c>
      <c r="F154" s="66">
        <v>5.6250000000000001E-2</v>
      </c>
      <c r="G154" s="66">
        <v>5.8444999999999997E-2</v>
      </c>
      <c r="H154" s="66">
        <v>6.21875E-2</v>
      </c>
      <c r="I154" s="66">
        <v>5.6250000000000001E-2</v>
      </c>
      <c r="J154" s="66">
        <v>5.78474E-2</v>
      </c>
      <c r="K154" s="66">
        <v>5.8125000000000003E-2</v>
      </c>
      <c r="L154" s="68"/>
      <c r="M154" s="68">
        <v>7471300</v>
      </c>
      <c r="N154" s="68">
        <v>4950000</v>
      </c>
      <c r="O154" s="68">
        <v>3100000</v>
      </c>
      <c r="P154" s="69">
        <f>M154/O154</f>
        <v>2.4100967741935482</v>
      </c>
      <c r="Q154" s="108">
        <v>5.8000000000000003E-2</v>
      </c>
      <c r="R154" s="108">
        <v>0</v>
      </c>
      <c r="S154" s="158">
        <v>0</v>
      </c>
      <c r="T154" s="158"/>
    </row>
    <row r="155" spans="1:20" s="71" customFormat="1" ht="13.5" customHeight="1" x14ac:dyDescent="0.2">
      <c r="A155" s="73"/>
      <c r="B155" s="73"/>
      <c r="C155" s="64" t="s">
        <v>95</v>
      </c>
      <c r="D155" s="65">
        <v>46888</v>
      </c>
      <c r="E155" s="66">
        <v>6.1249999999999999E-2</v>
      </c>
      <c r="F155" s="66">
        <v>6.1249999999999999E-2</v>
      </c>
      <c r="G155" s="66">
        <v>6.3324000000000005E-2</v>
      </c>
      <c r="H155" s="66">
        <v>6.5937499999999996E-2</v>
      </c>
      <c r="I155" s="66">
        <v>6.1249999999999999E-2</v>
      </c>
      <c r="J155" s="66">
        <v>6.2920799999999999E-2</v>
      </c>
      <c r="K155" s="66">
        <v>6.3125000000000001E-2</v>
      </c>
      <c r="L155" s="68"/>
      <c r="M155" s="68">
        <v>7838200</v>
      </c>
      <c r="N155" s="68">
        <v>7838200</v>
      </c>
      <c r="O155" s="68">
        <v>4600000</v>
      </c>
      <c r="P155" s="69">
        <f>M155/O155</f>
        <v>1.7039565217391304</v>
      </c>
      <c r="Q155" s="108">
        <v>6.3500000000000001E-2</v>
      </c>
      <c r="R155" s="108">
        <v>0</v>
      </c>
      <c r="S155" s="158">
        <v>0</v>
      </c>
      <c r="T155" s="158"/>
    </row>
    <row r="156" spans="1:20" s="71" customFormat="1" ht="13.5" customHeight="1" x14ac:dyDescent="0.2">
      <c r="A156" s="73"/>
      <c r="B156" s="73"/>
      <c r="C156" s="64" t="s">
        <v>47</v>
      </c>
      <c r="D156" s="65">
        <v>51971</v>
      </c>
      <c r="E156" s="66">
        <v>6.3750000000000001E-2</v>
      </c>
      <c r="F156" s="66">
        <v>6.5000000000000002E-2</v>
      </c>
      <c r="G156" s="66">
        <v>6.6420800000000002E-2</v>
      </c>
      <c r="H156" s="66">
        <v>6.8437499999999998E-2</v>
      </c>
      <c r="I156" s="66"/>
      <c r="J156" s="66"/>
      <c r="K156" s="66"/>
      <c r="L156" s="68"/>
      <c r="M156" s="68">
        <v>3007000</v>
      </c>
      <c r="N156" s="68">
        <v>300000</v>
      </c>
      <c r="O156" s="68"/>
      <c r="P156" s="69"/>
      <c r="Q156" s="108">
        <v>6.5299999999999997E-2</v>
      </c>
      <c r="R156" s="108">
        <v>1.9887751488813776E-3</v>
      </c>
      <c r="S156" s="158">
        <v>29293528.561597757</v>
      </c>
      <c r="T156" s="158"/>
    </row>
    <row r="157" spans="1:20" ht="13.5" customHeight="1" x14ac:dyDescent="0.2">
      <c r="A157" s="124">
        <v>41149</v>
      </c>
      <c r="B157" s="124">
        <v>41151</v>
      </c>
      <c r="C157" s="91" t="s">
        <v>93</v>
      </c>
      <c r="D157" s="92">
        <v>41498</v>
      </c>
      <c r="E157" s="94"/>
      <c r="F157" s="128">
        <v>4.3749999999999997E-2</v>
      </c>
      <c r="G157" s="128">
        <v>4.8259900000000001E-2</v>
      </c>
      <c r="H157" s="128">
        <v>0.05</v>
      </c>
      <c r="I157" s="128">
        <v>4.3749999999999997E-2</v>
      </c>
      <c r="J157" s="94">
        <v>4.5231199999999999E-2</v>
      </c>
      <c r="K157" s="94">
        <v>4.6249999999999999E-2</v>
      </c>
      <c r="L157" s="130">
        <v>6000000</v>
      </c>
      <c r="M157" s="130">
        <v>666300</v>
      </c>
      <c r="N157" s="130">
        <v>666300</v>
      </c>
      <c r="O157" s="130">
        <v>540000</v>
      </c>
      <c r="P157" s="97">
        <f t="shared" ref="P157:P166" si="10">M157/O157</f>
        <v>1.2338888888888888</v>
      </c>
      <c r="Q157" s="132">
        <v>4.9000000000000002E-2</v>
      </c>
      <c r="R157" s="56"/>
      <c r="S157" s="57">
        <f>O157*J157/$R$10</f>
        <v>25028617.345827125</v>
      </c>
      <c r="T157" s="57"/>
    </row>
    <row r="158" spans="1:20" ht="13.5" customHeight="1" x14ac:dyDescent="0.2">
      <c r="A158" s="89"/>
      <c r="B158" s="89"/>
      <c r="C158" s="91" t="s">
        <v>34</v>
      </c>
      <c r="D158" s="92">
        <v>42840</v>
      </c>
      <c r="E158" s="94">
        <v>6.25E-2</v>
      </c>
      <c r="F158" s="94">
        <v>5.5625000000000001E-2</v>
      </c>
      <c r="G158" s="94">
        <v>5.6602699999999999E-2</v>
      </c>
      <c r="H158" s="94">
        <v>0.06</v>
      </c>
      <c r="I158" s="94">
        <v>5.5625000000000001E-2</v>
      </c>
      <c r="J158" s="94">
        <v>5.5915199999999998E-2</v>
      </c>
      <c r="K158" s="94">
        <v>5.6250000000000001E-2</v>
      </c>
      <c r="L158" s="96"/>
      <c r="M158" s="96">
        <v>887000</v>
      </c>
      <c r="N158" s="96">
        <v>600000</v>
      </c>
      <c r="O158" s="96">
        <v>350000</v>
      </c>
      <c r="P158" s="97">
        <f t="shared" si="10"/>
        <v>2.5342857142857143</v>
      </c>
      <c r="Q158" s="98">
        <v>4.65E-2</v>
      </c>
      <c r="R158" s="56"/>
      <c r="S158" s="57"/>
      <c r="T158" s="57"/>
    </row>
    <row r="159" spans="1:20" ht="13.5" customHeight="1" x14ac:dyDescent="0.2">
      <c r="A159" s="89"/>
      <c r="B159" s="89"/>
      <c r="C159" s="91" t="s">
        <v>94</v>
      </c>
      <c r="D159" s="92">
        <v>45061</v>
      </c>
      <c r="E159" s="94">
        <v>5.6250000000000001E-2</v>
      </c>
      <c r="F159" s="94">
        <v>6.1562499999999999E-2</v>
      </c>
      <c r="G159" s="94">
        <v>6.2457400000000003E-2</v>
      </c>
      <c r="H159" s="94">
        <v>6.5312499999999996E-2</v>
      </c>
      <c r="I159" s="94"/>
      <c r="J159" s="94"/>
      <c r="K159" s="94"/>
      <c r="L159" s="96"/>
      <c r="M159" s="96">
        <v>1530000</v>
      </c>
      <c r="N159" s="96"/>
      <c r="O159" s="96"/>
      <c r="P159" s="97"/>
      <c r="Q159" s="98">
        <v>6.1499999999999999E-2</v>
      </c>
      <c r="R159" s="56">
        <v>0</v>
      </c>
      <c r="S159" s="57">
        <v>0</v>
      </c>
      <c r="T159" s="57"/>
    </row>
    <row r="160" spans="1:20" ht="13.5" customHeight="1" x14ac:dyDescent="0.2">
      <c r="A160" s="89"/>
      <c r="B160" s="89"/>
      <c r="C160" s="91" t="s">
        <v>98</v>
      </c>
      <c r="D160" s="92">
        <v>48714</v>
      </c>
      <c r="E160" s="94">
        <v>6.6250000000000003E-2</v>
      </c>
      <c r="F160" s="94">
        <v>6.7812499999999998E-2</v>
      </c>
      <c r="G160" s="94">
        <v>6.9155700000000001E-2</v>
      </c>
      <c r="H160" s="94">
        <v>7.2499999999999995E-2</v>
      </c>
      <c r="I160" s="94">
        <v>6.7812499999999998E-2</v>
      </c>
      <c r="J160" s="94">
        <v>6.8855E-2</v>
      </c>
      <c r="K160" s="94">
        <v>6.9062499999999999E-2</v>
      </c>
      <c r="L160" s="96"/>
      <c r="M160" s="96">
        <v>4284500</v>
      </c>
      <c r="N160" s="96">
        <v>3200000</v>
      </c>
      <c r="O160" s="96">
        <v>2950000</v>
      </c>
      <c r="P160" s="97">
        <f t="shared" si="10"/>
        <v>1.4523728813559322</v>
      </c>
      <c r="Q160" s="98">
        <v>6.8900000000000003E-2</v>
      </c>
      <c r="R160" s="56">
        <v>0</v>
      </c>
      <c r="S160" s="57">
        <v>0</v>
      </c>
      <c r="T160" s="57"/>
    </row>
    <row r="161" spans="1:20" ht="13.5" customHeight="1" x14ac:dyDescent="0.2">
      <c r="A161" s="89"/>
      <c r="B161" s="89"/>
      <c r="C161" s="91" t="s">
        <v>47</v>
      </c>
      <c r="D161" s="92">
        <v>51971</v>
      </c>
      <c r="E161" s="94">
        <v>6.3750000000000001E-2</v>
      </c>
      <c r="F161" s="94">
        <v>6.8437499999999998E-2</v>
      </c>
      <c r="G161" s="94">
        <v>6.9570300000000002E-2</v>
      </c>
      <c r="H161" s="94">
        <v>7.1249999999999994E-2</v>
      </c>
      <c r="I161" s="94"/>
      <c r="J161" s="94"/>
      <c r="K161" s="94"/>
      <c r="L161" s="96"/>
      <c r="M161" s="96">
        <v>1149500</v>
      </c>
      <c r="N161" s="96">
        <v>100000</v>
      </c>
      <c r="O161" s="96"/>
      <c r="P161" s="97"/>
      <c r="Q161" s="98">
        <v>6.8500000000000005E-2</v>
      </c>
      <c r="R161" s="56">
        <v>1.9887751488813776E-3</v>
      </c>
      <c r="S161" s="57">
        <v>29293528.561597757</v>
      </c>
      <c r="T161" s="57"/>
    </row>
    <row r="162" spans="1:20" s="71" customFormat="1" ht="13.5" customHeight="1" x14ac:dyDescent="0.2">
      <c r="A162" s="76">
        <v>41156</v>
      </c>
      <c r="B162" s="76">
        <v>41158</v>
      </c>
      <c r="C162" s="77" t="s">
        <v>102</v>
      </c>
      <c r="D162" s="78"/>
      <c r="E162" s="66"/>
      <c r="F162" s="80">
        <v>4.3749999999999997E-2</v>
      </c>
      <c r="G162" s="80"/>
      <c r="H162" s="80">
        <v>0.05</v>
      </c>
      <c r="I162" s="80"/>
      <c r="J162" s="66"/>
      <c r="K162" s="66"/>
      <c r="L162" s="82">
        <v>1000000</v>
      </c>
      <c r="M162" s="82">
        <v>182000</v>
      </c>
      <c r="N162" s="82"/>
      <c r="O162" s="82"/>
      <c r="P162" s="69"/>
      <c r="Q162" s="157"/>
      <c r="R162" s="108"/>
      <c r="S162" s="158">
        <f>O162*J162/$R$10</f>
        <v>0</v>
      </c>
      <c r="T162" s="158"/>
    </row>
    <row r="163" spans="1:20" s="71" customFormat="1" ht="13.5" customHeight="1" x14ac:dyDescent="0.2">
      <c r="A163" s="73"/>
      <c r="B163" s="73"/>
      <c r="C163" s="64" t="s">
        <v>48</v>
      </c>
      <c r="D163" s="65">
        <v>43146</v>
      </c>
      <c r="E163" s="66">
        <v>4.4499999999999998E-2</v>
      </c>
      <c r="F163" s="66">
        <v>5.7812500000000003E-2</v>
      </c>
      <c r="G163" s="66"/>
      <c r="H163" s="66">
        <v>6.3125000000000001E-2</v>
      </c>
      <c r="I163" s="66">
        <v>5.7812500000000003E-2</v>
      </c>
      <c r="J163" s="66">
        <v>6.0042600000000002E-2</v>
      </c>
      <c r="K163" s="66"/>
      <c r="L163" s="68"/>
      <c r="M163" s="68">
        <v>870000</v>
      </c>
      <c r="N163" s="68"/>
      <c r="O163" s="68">
        <v>660000</v>
      </c>
      <c r="P163" s="69">
        <f t="shared" si="10"/>
        <v>1.3181818181818181</v>
      </c>
      <c r="Q163" s="108"/>
      <c r="R163" s="108"/>
      <c r="S163" s="158"/>
      <c r="T163" s="158"/>
    </row>
    <row r="164" spans="1:20" s="71" customFormat="1" ht="13.5" customHeight="1" x14ac:dyDescent="0.2">
      <c r="A164" s="73"/>
      <c r="B164" s="73"/>
      <c r="C164" s="64" t="s">
        <v>49</v>
      </c>
      <c r="D164" s="65">
        <v>44576</v>
      </c>
      <c r="E164" s="66">
        <v>5.45E-2</v>
      </c>
      <c r="F164" s="66">
        <v>6.0937499999999999E-2</v>
      </c>
      <c r="G164" s="66"/>
      <c r="H164" s="66">
        <v>6.5000000000000002E-2</v>
      </c>
      <c r="I164" s="66">
        <v>6.0937499999999999E-2</v>
      </c>
      <c r="J164" s="66">
        <v>6.3195500000000002E-2</v>
      </c>
      <c r="K164" s="66"/>
      <c r="L164" s="68"/>
      <c r="M164" s="68">
        <v>390000</v>
      </c>
      <c r="N164" s="68"/>
      <c r="O164" s="68">
        <v>193000</v>
      </c>
      <c r="P164" s="69">
        <f t="shared" si="10"/>
        <v>2.0207253886010363</v>
      </c>
      <c r="Q164" s="108"/>
      <c r="R164" s="108"/>
      <c r="S164" s="158"/>
      <c r="T164" s="158"/>
    </row>
    <row r="165" spans="1:20" s="71" customFormat="1" ht="13.5" customHeight="1" x14ac:dyDescent="0.2">
      <c r="A165" s="73"/>
      <c r="B165" s="73"/>
      <c r="C165" s="64" t="s">
        <v>50</v>
      </c>
      <c r="D165" s="65">
        <v>46402</v>
      </c>
      <c r="E165" s="66">
        <v>0.06</v>
      </c>
      <c r="F165" s="66">
        <v>6.6875000000000004E-2</v>
      </c>
      <c r="G165" s="66"/>
      <c r="H165" s="66">
        <v>7.1249999999999994E-2</v>
      </c>
      <c r="I165" s="66"/>
      <c r="J165" s="66"/>
      <c r="K165" s="66"/>
      <c r="L165" s="68"/>
      <c r="M165" s="68">
        <v>139000</v>
      </c>
      <c r="N165" s="68"/>
      <c r="O165" s="68"/>
      <c r="P165" s="69"/>
      <c r="Q165" s="108"/>
      <c r="R165" s="108" t="e">
        <f>O165*J165/$O$43</f>
        <v>#DIV/0!</v>
      </c>
      <c r="S165" s="158">
        <f>O165*J165/$R$10</f>
        <v>0</v>
      </c>
      <c r="T165" s="158"/>
    </row>
    <row r="166" spans="1:20" s="71" customFormat="1" ht="13.5" customHeight="1" x14ac:dyDescent="0.2">
      <c r="A166" s="73"/>
      <c r="B166" s="73"/>
      <c r="C166" s="64" t="s">
        <v>53</v>
      </c>
      <c r="D166" s="65">
        <v>50086</v>
      </c>
      <c r="E166" s="66">
        <v>6.0999999999999999E-2</v>
      </c>
      <c r="F166" s="66">
        <v>6.7500000000000004E-2</v>
      </c>
      <c r="G166" s="66"/>
      <c r="H166" s="66">
        <v>7.3124999999999996E-2</v>
      </c>
      <c r="I166" s="66">
        <v>6.7500000000000004E-2</v>
      </c>
      <c r="J166" s="66">
        <v>6.7808900000000005E-2</v>
      </c>
      <c r="K166" s="66"/>
      <c r="L166" s="68"/>
      <c r="M166" s="68">
        <v>402000</v>
      </c>
      <c r="N166" s="68"/>
      <c r="O166" s="68">
        <v>250000</v>
      </c>
      <c r="P166" s="69">
        <f t="shared" si="10"/>
        <v>1.6080000000000001</v>
      </c>
      <c r="Q166" s="108"/>
      <c r="R166" s="108" t="e">
        <f>O166*J166/$O$43</f>
        <v>#DIV/0!</v>
      </c>
      <c r="S166" s="158">
        <f>O166*J166/$R$10</f>
        <v>17371275.050938465</v>
      </c>
      <c r="T166" s="158"/>
    </row>
    <row r="167" spans="1:20" ht="13.5" customHeight="1" x14ac:dyDescent="0.2">
      <c r="A167" s="124">
        <v>41163</v>
      </c>
      <c r="B167" s="124">
        <v>41165</v>
      </c>
      <c r="C167" s="125" t="s">
        <v>99</v>
      </c>
      <c r="D167" s="126">
        <v>41255</v>
      </c>
      <c r="E167" s="94"/>
      <c r="F167" s="128">
        <v>0.04</v>
      </c>
      <c r="G167" s="128">
        <v>4.1332500000000001E-2</v>
      </c>
      <c r="H167" s="128">
        <v>4.3749999999999997E-2</v>
      </c>
      <c r="I167" s="128">
        <v>0.04</v>
      </c>
      <c r="J167" s="94">
        <v>4.01819E-2</v>
      </c>
      <c r="K167" s="94">
        <v>4.0625000000000001E-2</v>
      </c>
      <c r="L167" s="130">
        <v>5000000</v>
      </c>
      <c r="M167" s="130">
        <v>4487000</v>
      </c>
      <c r="N167" s="130">
        <v>3650000</v>
      </c>
      <c r="O167" s="130">
        <v>1000000</v>
      </c>
      <c r="P167" s="97">
        <f>M167/O167</f>
        <v>4.4870000000000001</v>
      </c>
      <c r="Q167" s="132">
        <v>4.1000000000000002E-2</v>
      </c>
      <c r="R167" s="56"/>
      <c r="S167" s="57">
        <f>O167*J167/$R$10</f>
        <v>41175175.35127715</v>
      </c>
      <c r="T167" s="57"/>
    </row>
    <row r="168" spans="1:20" ht="13.5" customHeight="1" x14ac:dyDescent="0.2">
      <c r="A168" s="89"/>
      <c r="B168" s="89"/>
      <c r="C168" s="91" t="s">
        <v>100</v>
      </c>
      <c r="D168" s="92">
        <v>41164</v>
      </c>
      <c r="E168" s="94"/>
      <c r="F168" s="94">
        <v>4.5624999999999999E-2</v>
      </c>
      <c r="G168" s="94">
        <v>4.7959000000000002E-2</v>
      </c>
      <c r="H168" s="94">
        <v>5.5E-2</v>
      </c>
      <c r="I168" s="94">
        <v>4.5624999999999999E-2</v>
      </c>
      <c r="J168" s="94">
        <v>4.6062499999999999E-2</v>
      </c>
      <c r="K168" s="94">
        <v>4.6249999999999999E-2</v>
      </c>
      <c r="L168" s="96"/>
      <c r="M168" s="96">
        <v>1785000</v>
      </c>
      <c r="N168" s="96">
        <v>1100000</v>
      </c>
      <c r="O168" s="96">
        <v>1000000</v>
      </c>
      <c r="P168" s="97">
        <f>M168/O168</f>
        <v>1.7849999999999999</v>
      </c>
      <c r="Q168" s="98">
        <v>4.65E-2</v>
      </c>
      <c r="R168" s="56"/>
      <c r="S168" s="57"/>
      <c r="T168" s="57"/>
    </row>
    <row r="169" spans="1:20" ht="13.5" customHeight="1" x14ac:dyDescent="0.2">
      <c r="A169" s="89"/>
      <c r="B169" s="89"/>
      <c r="C169" s="91" t="s">
        <v>94</v>
      </c>
      <c r="D169" s="92">
        <v>45061</v>
      </c>
      <c r="E169" s="94">
        <v>5.6250000000000001E-2</v>
      </c>
      <c r="F169" s="94">
        <v>5.9374999999999997E-2</v>
      </c>
      <c r="G169" s="94">
        <v>6.0299499999999999E-2</v>
      </c>
      <c r="H169" s="94">
        <v>6.21875E-2</v>
      </c>
      <c r="I169" s="94">
        <v>5.9374999999999997E-2</v>
      </c>
      <c r="J169" s="94">
        <v>5.9670000000000001E-2</v>
      </c>
      <c r="K169" s="94">
        <v>5.9687499999999998E-2</v>
      </c>
      <c r="L169" s="96"/>
      <c r="M169" s="96">
        <v>2121500</v>
      </c>
      <c r="N169" s="96">
        <v>450000</v>
      </c>
      <c r="O169" s="96">
        <v>400000</v>
      </c>
      <c r="P169" s="97">
        <f>M169/O169</f>
        <v>5.30375</v>
      </c>
      <c r="Q169" s="98">
        <v>5.9700000000000003E-2</v>
      </c>
      <c r="R169" s="56">
        <v>0</v>
      </c>
      <c r="S169" s="57">
        <v>0</v>
      </c>
      <c r="T169" s="57"/>
    </row>
    <row r="170" spans="1:20" ht="13.5" customHeight="1" x14ac:dyDescent="0.2">
      <c r="A170" s="89"/>
      <c r="B170" s="89"/>
      <c r="C170" s="91" t="s">
        <v>95</v>
      </c>
      <c r="D170" s="92">
        <v>46888</v>
      </c>
      <c r="E170" s="94">
        <v>6.1249999999999999E-2</v>
      </c>
      <c r="F170" s="94">
        <v>6.3125000000000001E-2</v>
      </c>
      <c r="G170" s="94">
        <v>6.4128599999999994E-2</v>
      </c>
      <c r="H170" s="94">
        <v>6.7500000000000004E-2</v>
      </c>
      <c r="I170" s="94">
        <v>6.3125000000000001E-2</v>
      </c>
      <c r="J170" s="94">
        <v>6.3644900000000004E-2</v>
      </c>
      <c r="K170" s="94">
        <v>6.3750000000000001E-2</v>
      </c>
      <c r="L170" s="96"/>
      <c r="M170" s="96">
        <v>1750500</v>
      </c>
      <c r="N170" s="96">
        <v>650000</v>
      </c>
      <c r="O170" s="96">
        <v>600000</v>
      </c>
      <c r="P170" s="97">
        <f>M170/O170</f>
        <v>2.9175</v>
      </c>
      <c r="Q170" s="98">
        <v>6.3700000000000007E-2</v>
      </c>
      <c r="R170" s="56">
        <v>0</v>
      </c>
      <c r="S170" s="57">
        <v>0</v>
      </c>
      <c r="T170" s="57"/>
    </row>
    <row r="171" spans="1:20" ht="13.5" customHeight="1" x14ac:dyDescent="0.2">
      <c r="A171" s="89"/>
      <c r="B171" s="89"/>
      <c r="C171" s="91" t="s">
        <v>98</v>
      </c>
      <c r="D171" s="92">
        <v>48714</v>
      </c>
      <c r="E171" s="94">
        <v>6.6250000000000003E-2</v>
      </c>
      <c r="F171" s="94">
        <v>6.5937499999999996E-2</v>
      </c>
      <c r="G171" s="94">
        <v>6.7079E-2</v>
      </c>
      <c r="H171" s="94">
        <v>6.9375000000000006E-2</v>
      </c>
      <c r="I171" s="94">
        <v>6.5937499999999996E-2</v>
      </c>
      <c r="J171" s="94">
        <v>6.6852700000000001E-2</v>
      </c>
      <c r="K171" s="94">
        <v>6.7187499999999997E-2</v>
      </c>
      <c r="L171" s="96"/>
      <c r="M171" s="96">
        <v>3973000</v>
      </c>
      <c r="N171" s="96">
        <v>3450000</v>
      </c>
      <c r="O171" s="96">
        <v>3200000</v>
      </c>
      <c r="P171" s="97"/>
      <c r="Q171" s="98">
        <v>6.6900000000000001E-2</v>
      </c>
      <c r="R171" s="56">
        <v>1.9887751488813776E-3</v>
      </c>
      <c r="S171" s="57">
        <v>29293528.561597757</v>
      </c>
      <c r="T171" s="57"/>
    </row>
    <row r="172" spans="1:20" s="71" customFormat="1" ht="13.5" customHeight="1" x14ac:dyDescent="0.2">
      <c r="A172" s="76">
        <v>41170</v>
      </c>
      <c r="B172" s="76">
        <v>41172</v>
      </c>
      <c r="C172" s="77" t="s">
        <v>101</v>
      </c>
      <c r="D172" s="78"/>
      <c r="E172" s="66"/>
      <c r="F172" s="80">
        <v>5.5E-2</v>
      </c>
      <c r="G172" s="80"/>
      <c r="H172" s="80">
        <v>5.7500000000000002E-2</v>
      </c>
      <c r="I172" s="80"/>
      <c r="J172" s="66"/>
      <c r="K172" s="66"/>
      <c r="L172" s="82">
        <v>1000000</v>
      </c>
      <c r="M172" s="82">
        <v>151000</v>
      </c>
      <c r="N172" s="82"/>
      <c r="O172" s="82"/>
      <c r="P172" s="69"/>
      <c r="Q172" s="157"/>
      <c r="R172" s="108"/>
      <c r="S172" s="158">
        <f>O172*J172/$R$10</f>
        <v>0</v>
      </c>
      <c r="T172" s="158"/>
    </row>
    <row r="173" spans="1:20" s="71" customFormat="1" ht="13.5" customHeight="1" x14ac:dyDescent="0.2">
      <c r="A173" s="73"/>
      <c r="B173" s="73"/>
      <c r="C173" s="64" t="s">
        <v>48</v>
      </c>
      <c r="D173" s="65">
        <v>43146</v>
      </c>
      <c r="E173" s="66">
        <v>4.4499999999999998E-2</v>
      </c>
      <c r="F173" s="66">
        <v>5.9062499999999997E-2</v>
      </c>
      <c r="G173" s="66"/>
      <c r="H173" s="66">
        <v>6.5000000000000002E-2</v>
      </c>
      <c r="I173" s="66"/>
      <c r="J173" s="66"/>
      <c r="K173" s="66"/>
      <c r="L173" s="68"/>
      <c r="M173" s="68">
        <v>741000</v>
      </c>
      <c r="N173" s="68"/>
      <c r="O173" s="68"/>
      <c r="P173" s="69"/>
      <c r="Q173" s="108"/>
      <c r="R173" s="108"/>
      <c r="S173" s="158"/>
      <c r="T173" s="158"/>
    </row>
    <row r="174" spans="1:20" s="71" customFormat="1" ht="13.5" customHeight="1" x14ac:dyDescent="0.2">
      <c r="A174" s="73"/>
      <c r="B174" s="73"/>
      <c r="C174" s="64" t="s">
        <v>49</v>
      </c>
      <c r="D174" s="65">
        <v>44576</v>
      </c>
      <c r="E174" s="66">
        <v>5.45E-2</v>
      </c>
      <c r="F174" s="66">
        <v>6.25E-2</v>
      </c>
      <c r="G174" s="66"/>
      <c r="H174" s="66">
        <v>6.7500000000000004E-2</v>
      </c>
      <c r="I174" s="66"/>
      <c r="J174" s="66"/>
      <c r="K174" s="66"/>
      <c r="L174" s="68"/>
      <c r="M174" s="68">
        <v>241000</v>
      </c>
      <c r="N174" s="68"/>
      <c r="O174" s="68"/>
      <c r="P174" s="69"/>
      <c r="Q174" s="108"/>
      <c r="R174" s="108"/>
      <c r="S174" s="158"/>
      <c r="T174" s="158"/>
    </row>
    <row r="175" spans="1:20" s="71" customFormat="1" ht="13.5" customHeight="1" x14ac:dyDescent="0.2">
      <c r="A175" s="73"/>
      <c r="B175" s="73"/>
      <c r="C175" s="64" t="s">
        <v>50</v>
      </c>
      <c r="D175" s="65">
        <v>46402</v>
      </c>
      <c r="E175" s="66">
        <v>0.06</v>
      </c>
      <c r="F175" s="66">
        <v>6.5312499999999996E-2</v>
      </c>
      <c r="G175" s="66"/>
      <c r="H175" s="66">
        <v>7.0000000000000007E-2</v>
      </c>
      <c r="I175" s="66"/>
      <c r="J175" s="66"/>
      <c r="K175" s="66"/>
      <c r="L175" s="68"/>
      <c r="M175" s="68">
        <v>26000</v>
      </c>
      <c r="N175" s="68"/>
      <c r="O175" s="68"/>
      <c r="P175" s="69"/>
      <c r="Q175" s="108"/>
      <c r="R175" s="108" t="e">
        <f>O175*J175/$O$43</f>
        <v>#DIV/0!</v>
      </c>
      <c r="S175" s="158">
        <f>O175*J175/$R$10</f>
        <v>0</v>
      </c>
      <c r="T175" s="158"/>
    </row>
    <row r="176" spans="1:20" s="71" customFormat="1" ht="13.5" customHeight="1" x14ac:dyDescent="0.2">
      <c r="A176" s="73"/>
      <c r="B176" s="73"/>
      <c r="C176" s="64" t="s">
        <v>53</v>
      </c>
      <c r="D176" s="65">
        <v>50086</v>
      </c>
      <c r="E176" s="66">
        <v>6.0999999999999999E-2</v>
      </c>
      <c r="F176" s="66">
        <v>6.7500000000000004E-2</v>
      </c>
      <c r="G176" s="66"/>
      <c r="H176" s="66">
        <v>7.2499999999999995E-2</v>
      </c>
      <c r="I176" s="66"/>
      <c r="J176" s="66"/>
      <c r="K176" s="66"/>
      <c r="L176" s="68"/>
      <c r="M176" s="68">
        <v>206000</v>
      </c>
      <c r="N176" s="68"/>
      <c r="O176" s="68"/>
      <c r="P176" s="69"/>
      <c r="Q176" s="108"/>
      <c r="R176" s="108" t="e">
        <f>O176*J176/$O$43</f>
        <v>#DIV/0!</v>
      </c>
      <c r="S176" s="158">
        <f>O176*J176/$R$10</f>
        <v>0</v>
      </c>
      <c r="T176" s="158"/>
    </row>
    <row r="177" spans="1:20" ht="13.5" customHeight="1" x14ac:dyDescent="0.2">
      <c r="A177" s="124">
        <v>41177</v>
      </c>
      <c r="B177" s="124">
        <f>A177+2</f>
        <v>41179</v>
      </c>
      <c r="C177" s="125" t="s">
        <v>100</v>
      </c>
      <c r="D177" s="126">
        <v>41529</v>
      </c>
      <c r="E177" s="94"/>
      <c r="F177" s="128">
        <v>4.5937499999999999E-2</v>
      </c>
      <c r="G177" s="128">
        <v>4.7070300000000002E-2</v>
      </c>
      <c r="H177" s="128">
        <v>0.05</v>
      </c>
      <c r="I177" s="128">
        <v>4.5937499999999999E-2</v>
      </c>
      <c r="J177" s="94">
        <v>4.6809400000000001E-2</v>
      </c>
      <c r="K177" s="94">
        <v>4.7500000000000001E-2</v>
      </c>
      <c r="L177" s="130">
        <v>5000000</v>
      </c>
      <c r="M177" s="130">
        <v>1796000</v>
      </c>
      <c r="N177" s="130">
        <v>1150000</v>
      </c>
      <c r="O177" s="130">
        <v>1000000</v>
      </c>
      <c r="P177" s="97">
        <f t="shared" ref="P177:P192" si="11">M177/O177</f>
        <v>1.796</v>
      </c>
      <c r="Q177" s="132">
        <v>4.7E-2</v>
      </c>
      <c r="R177" s="56"/>
      <c r="S177" s="57">
        <f>O177*J177/$R$10</f>
        <v>47966503.651845053</v>
      </c>
      <c r="T177" s="57"/>
    </row>
    <row r="178" spans="1:20" ht="13.5" customHeight="1" x14ac:dyDescent="0.2">
      <c r="A178" s="89"/>
      <c r="B178" s="89"/>
      <c r="C178" s="91" t="s">
        <v>34</v>
      </c>
      <c r="D178" s="92">
        <v>42840</v>
      </c>
      <c r="E178" s="94">
        <v>6.25E-2</v>
      </c>
      <c r="F178" s="94">
        <v>5.2812499999999998E-2</v>
      </c>
      <c r="G178" s="94">
        <v>5.5194300000000002E-2</v>
      </c>
      <c r="H178" s="94">
        <v>5.7500000000000002E-2</v>
      </c>
      <c r="I178" s="94">
        <v>5.2812499999999998E-2</v>
      </c>
      <c r="J178" s="94">
        <v>5.44783E-2</v>
      </c>
      <c r="K178" s="94">
        <v>5.5312500000000001E-2</v>
      </c>
      <c r="L178" s="96"/>
      <c r="M178" s="96">
        <v>1761000</v>
      </c>
      <c r="N178" s="96">
        <v>950000</v>
      </c>
      <c r="O178" s="96">
        <v>950000</v>
      </c>
      <c r="P178" s="97">
        <f t="shared" si="11"/>
        <v>1.8536842105263158</v>
      </c>
      <c r="Q178" s="98">
        <v>5.45E-2</v>
      </c>
      <c r="R178" s="56">
        <v>0</v>
      </c>
      <c r="S178" s="57">
        <v>0</v>
      </c>
      <c r="T178" s="57"/>
    </row>
    <row r="179" spans="1:20" ht="13.5" customHeight="1" x14ac:dyDescent="0.2">
      <c r="A179" s="89"/>
      <c r="B179" s="89"/>
      <c r="C179" s="91" t="s">
        <v>94</v>
      </c>
      <c r="D179" s="92">
        <v>45061</v>
      </c>
      <c r="E179" s="94">
        <v>5.6250000000000001E-2</v>
      </c>
      <c r="F179" s="94">
        <v>5.9062499999999997E-2</v>
      </c>
      <c r="G179" s="94">
        <v>6.0377800000000002E-2</v>
      </c>
      <c r="H179" s="94">
        <v>6.21875E-2</v>
      </c>
      <c r="I179" s="94">
        <v>5.9062499999999997E-2</v>
      </c>
      <c r="J179" s="94">
        <v>5.9893099999999998E-2</v>
      </c>
      <c r="K179" s="94">
        <v>6.0312499999999998E-2</v>
      </c>
      <c r="L179" s="96"/>
      <c r="M179" s="96">
        <v>4200800</v>
      </c>
      <c r="N179" s="96">
        <v>2200000</v>
      </c>
      <c r="O179" s="96">
        <v>2200000</v>
      </c>
      <c r="P179" s="97">
        <f t="shared" si="11"/>
        <v>1.9094545454545455</v>
      </c>
      <c r="Q179" s="98">
        <v>5.9900000000000002E-2</v>
      </c>
      <c r="R179" s="56">
        <v>0</v>
      </c>
      <c r="S179" s="57">
        <v>0</v>
      </c>
      <c r="T179" s="57"/>
    </row>
    <row r="180" spans="1:20" ht="13.5" customHeight="1" x14ac:dyDescent="0.2">
      <c r="A180" s="89"/>
      <c r="B180" s="89"/>
      <c r="C180" s="91" t="s">
        <v>98</v>
      </c>
      <c r="D180" s="92">
        <v>48714</v>
      </c>
      <c r="E180" s="94">
        <v>6.6250000000000003E-2</v>
      </c>
      <c r="F180" s="94">
        <v>6.6875000000000004E-2</v>
      </c>
      <c r="G180" s="94">
        <v>6.7796400000000007E-2</v>
      </c>
      <c r="H180" s="94">
        <v>6.9062499999999999E-2</v>
      </c>
      <c r="I180" s="94">
        <v>6.6875000000000004E-2</v>
      </c>
      <c r="J180" s="94">
        <v>6.7299300000000006E-2</v>
      </c>
      <c r="K180" s="94">
        <v>6.7500000000000004E-2</v>
      </c>
      <c r="L180" s="96"/>
      <c r="M180" s="96">
        <v>4118000</v>
      </c>
      <c r="N180" s="96">
        <v>1150000</v>
      </c>
      <c r="O180" s="96">
        <v>1150000</v>
      </c>
      <c r="P180" s="97">
        <f t="shared" si="11"/>
        <v>3.5808695652173914</v>
      </c>
      <c r="Q180" s="98">
        <v>6.7299999999999999E-2</v>
      </c>
      <c r="R180" s="56">
        <v>1.9887751488813776E-3</v>
      </c>
      <c r="S180" s="57">
        <v>29293528.561597757</v>
      </c>
      <c r="T180" s="57"/>
    </row>
    <row r="181" spans="1:20" s="71" customFormat="1" ht="13.5" customHeight="1" x14ac:dyDescent="0.2">
      <c r="A181" s="76">
        <v>41184</v>
      </c>
      <c r="B181" s="76">
        <v>41186</v>
      </c>
      <c r="C181" s="77" t="s">
        <v>108</v>
      </c>
      <c r="D181" s="78">
        <v>41367</v>
      </c>
      <c r="E181" s="66"/>
      <c r="F181" s="80">
        <v>4.4999999999999998E-2</v>
      </c>
      <c r="G181" s="80"/>
      <c r="H181" s="80">
        <v>5.7500000000000002E-2</v>
      </c>
      <c r="I181" s="80">
        <v>4.4999999999999998E-2</v>
      </c>
      <c r="J181" s="66">
        <v>4.6944399999999997E-2</v>
      </c>
      <c r="K181" s="66"/>
      <c r="L181" s="82">
        <v>1000000</v>
      </c>
      <c r="M181" s="82">
        <v>265000</v>
      </c>
      <c r="N181" s="82"/>
      <c r="O181" s="82">
        <v>90000</v>
      </c>
      <c r="P181" s="69">
        <f t="shared" si="11"/>
        <v>2.9444444444444446</v>
      </c>
      <c r="Q181" s="157"/>
      <c r="R181" s="108"/>
      <c r="S181" s="158">
        <f>O181*J181/$R$10</f>
        <v>4329435.6702506486</v>
      </c>
      <c r="T181" s="158"/>
    </row>
    <row r="182" spans="1:20" s="71" customFormat="1" ht="13.5" customHeight="1" x14ac:dyDescent="0.2">
      <c r="A182" s="73"/>
      <c r="B182" s="73"/>
      <c r="C182" s="64" t="s">
        <v>48</v>
      </c>
      <c r="D182" s="65">
        <v>43146</v>
      </c>
      <c r="E182" s="66">
        <v>4.4499999999999998E-2</v>
      </c>
      <c r="F182" s="66">
        <v>5.9687499999999998E-2</v>
      </c>
      <c r="G182" s="66"/>
      <c r="H182" s="66">
        <v>6.5000000000000002E-2</v>
      </c>
      <c r="I182" s="66">
        <v>5.9687499999999998E-2</v>
      </c>
      <c r="J182" s="66">
        <v>6.0198000000000002E-2</v>
      </c>
      <c r="K182" s="66"/>
      <c r="L182" s="68"/>
      <c r="M182" s="68">
        <v>756000</v>
      </c>
      <c r="N182" s="68"/>
      <c r="O182" s="68">
        <v>460000</v>
      </c>
      <c r="P182" s="69">
        <f t="shared" si="11"/>
        <v>1.6434782608695653</v>
      </c>
      <c r="Q182" s="108"/>
      <c r="R182" s="108"/>
      <c r="S182" s="158"/>
      <c r="T182" s="158"/>
    </row>
    <row r="183" spans="1:20" s="71" customFormat="1" ht="13.5" customHeight="1" x14ac:dyDescent="0.2">
      <c r="A183" s="73"/>
      <c r="B183" s="73"/>
      <c r="C183" s="64" t="s">
        <v>49</v>
      </c>
      <c r="D183" s="65">
        <v>44576</v>
      </c>
      <c r="E183" s="66">
        <v>5.45E-2</v>
      </c>
      <c r="F183" s="66">
        <v>6.25E-2</v>
      </c>
      <c r="G183" s="66"/>
      <c r="H183" s="66">
        <v>6.7500000000000004E-2</v>
      </c>
      <c r="I183" s="66"/>
      <c r="J183" s="66"/>
      <c r="K183" s="66"/>
      <c r="L183" s="68"/>
      <c r="M183" s="68">
        <v>209000</v>
      </c>
      <c r="N183" s="68"/>
      <c r="O183" s="68"/>
      <c r="P183" s="69"/>
      <c r="Q183" s="108"/>
      <c r="R183" s="108"/>
      <c r="S183" s="158"/>
      <c r="T183" s="158"/>
    </row>
    <row r="184" spans="1:20" s="71" customFormat="1" ht="13.5" customHeight="1" x14ac:dyDescent="0.2">
      <c r="A184" s="73"/>
      <c r="B184" s="73"/>
      <c r="C184" s="64" t="s">
        <v>50</v>
      </c>
      <c r="D184" s="65">
        <v>46402</v>
      </c>
      <c r="E184" s="66">
        <v>0.06</v>
      </c>
      <c r="F184" s="66">
        <v>6.6250000000000003E-2</v>
      </c>
      <c r="G184" s="66"/>
      <c r="H184" s="66">
        <v>7.0000000000000007E-2</v>
      </c>
      <c r="I184" s="66"/>
      <c r="J184" s="66"/>
      <c r="K184" s="66"/>
      <c r="L184" s="68"/>
      <c r="M184" s="68">
        <v>68000</v>
      </c>
      <c r="N184" s="68"/>
      <c r="O184" s="68"/>
      <c r="P184" s="69"/>
      <c r="Q184" s="108"/>
      <c r="R184" s="108" t="e">
        <f>O184*J184/$O$43</f>
        <v>#DIV/0!</v>
      </c>
      <c r="S184" s="158">
        <f>O184*J184/$R$10</f>
        <v>0</v>
      </c>
      <c r="T184" s="158"/>
    </row>
    <row r="185" spans="1:20" s="71" customFormat="1" ht="13.5" customHeight="1" x14ac:dyDescent="0.2">
      <c r="A185" s="73"/>
      <c r="B185" s="73"/>
      <c r="C185" s="64" t="s">
        <v>53</v>
      </c>
      <c r="D185" s="65">
        <v>50086</v>
      </c>
      <c r="E185" s="66">
        <v>6.0999999999999999E-2</v>
      </c>
      <c r="F185" s="66">
        <v>6.8125000000000005E-2</v>
      </c>
      <c r="G185" s="66"/>
      <c r="H185" s="66">
        <v>7.2499999999999995E-2</v>
      </c>
      <c r="I185" s="66">
        <v>6.8125000000000005E-2</v>
      </c>
      <c r="J185" s="66">
        <v>6.8398899999999999E-2</v>
      </c>
      <c r="K185" s="66"/>
      <c r="L185" s="68"/>
      <c r="M185" s="68">
        <v>102000</v>
      </c>
      <c r="N185" s="68"/>
      <c r="O185" s="68">
        <v>81000</v>
      </c>
      <c r="P185" s="69">
        <f t="shared" si="11"/>
        <v>1.2592592592592593</v>
      </c>
      <c r="Q185" s="108"/>
      <c r="R185" s="108" t="e">
        <f>O185*J185/$O$43</f>
        <v>#DIV/0!</v>
      </c>
      <c r="S185" s="158">
        <f>O185*J185/$R$10</f>
        <v>5677264.4600701332</v>
      </c>
      <c r="T185" s="158"/>
    </row>
    <row r="186" spans="1:20" ht="13.5" customHeight="1" x14ac:dyDescent="0.2">
      <c r="A186" s="124">
        <v>41186</v>
      </c>
      <c r="B186" s="124">
        <v>41190</v>
      </c>
      <c r="C186" s="125" t="s">
        <v>105</v>
      </c>
      <c r="D186" s="126">
        <v>41281</v>
      </c>
      <c r="E186" s="94"/>
      <c r="F186" s="128">
        <v>3.9687500000000001E-2</v>
      </c>
      <c r="G186" s="128">
        <v>4.1053199999999998E-2</v>
      </c>
      <c r="H186" s="128">
        <v>0.05</v>
      </c>
      <c r="I186" s="128">
        <v>3.9687500000000001E-2</v>
      </c>
      <c r="J186" s="94">
        <v>4.0156299999999999E-2</v>
      </c>
      <c r="K186" s="94">
        <v>4.0312500000000001E-2</v>
      </c>
      <c r="L186" s="130">
        <v>5000000</v>
      </c>
      <c r="M186" s="130">
        <v>3711000</v>
      </c>
      <c r="N186" s="130">
        <v>2350000</v>
      </c>
      <c r="O186" s="130">
        <v>1000000</v>
      </c>
      <c r="P186" s="97">
        <f t="shared" si="11"/>
        <v>3.7109999999999999</v>
      </c>
      <c r="Q186" s="132">
        <v>4.0500000000000001E-2</v>
      </c>
      <c r="R186" s="56"/>
      <c r="S186" s="57">
        <f>O186*J186/$R$10</f>
        <v>41148942.532794379</v>
      </c>
      <c r="T186" s="57"/>
    </row>
    <row r="187" spans="1:20" ht="13.5" customHeight="1" x14ac:dyDescent="0.2">
      <c r="A187" s="89"/>
      <c r="B187" s="89"/>
      <c r="C187" s="91" t="s">
        <v>106</v>
      </c>
      <c r="D187" s="92">
        <v>41554</v>
      </c>
      <c r="E187" s="94"/>
      <c r="F187" s="94">
        <v>4.0937500000000002E-2</v>
      </c>
      <c r="G187" s="94">
        <v>4.6291100000000002E-2</v>
      </c>
      <c r="H187" s="94">
        <v>0.05</v>
      </c>
      <c r="I187" s="94">
        <v>4.0937500000000002E-2</v>
      </c>
      <c r="J187" s="94">
        <v>4.4499999999999998E-2</v>
      </c>
      <c r="K187" s="94">
        <v>4.6875E-2</v>
      </c>
      <c r="L187" s="96"/>
      <c r="M187" s="96">
        <v>2450000</v>
      </c>
      <c r="N187" s="96">
        <v>2450000</v>
      </c>
      <c r="O187" s="96">
        <v>1000000</v>
      </c>
      <c r="P187" s="97">
        <f t="shared" si="11"/>
        <v>2.4500000000000002</v>
      </c>
      <c r="Q187" s="98">
        <v>4.6800000000000001E-2</v>
      </c>
      <c r="R187" s="56"/>
      <c r="S187" s="57"/>
      <c r="T187" s="57"/>
    </row>
    <row r="188" spans="1:20" ht="13.5" customHeight="1" x14ac:dyDescent="0.2">
      <c r="A188" s="89"/>
      <c r="B188" s="89"/>
      <c r="C188" s="91" t="s">
        <v>94</v>
      </c>
      <c r="D188" s="92">
        <v>45061</v>
      </c>
      <c r="E188" s="94">
        <v>5.6250000000000001E-2</v>
      </c>
      <c r="F188" s="94">
        <v>5.8437500000000003E-2</v>
      </c>
      <c r="G188" s="94">
        <v>5.9094099999999997E-2</v>
      </c>
      <c r="H188" s="94">
        <v>6.0312499999999998E-2</v>
      </c>
      <c r="I188" s="94">
        <v>5.8437500000000003E-2</v>
      </c>
      <c r="J188" s="94">
        <v>5.8699099999999997E-2</v>
      </c>
      <c r="K188" s="94">
        <v>5.8749999999999997E-2</v>
      </c>
      <c r="L188" s="96"/>
      <c r="M188" s="96">
        <v>3366000</v>
      </c>
      <c r="N188" s="96">
        <v>3366000</v>
      </c>
      <c r="O188" s="96">
        <v>1600000</v>
      </c>
      <c r="P188" s="97">
        <f t="shared" si="11"/>
        <v>2.1037499999999998</v>
      </c>
      <c r="Q188" s="98">
        <v>5.91E-2</v>
      </c>
      <c r="R188" s="56">
        <v>0</v>
      </c>
      <c r="S188" s="57">
        <v>0</v>
      </c>
      <c r="T188" s="57"/>
    </row>
    <row r="189" spans="1:20" ht="13.5" customHeight="1" x14ac:dyDescent="0.2">
      <c r="A189" s="89"/>
      <c r="B189" s="89"/>
      <c r="C189" s="91" t="s">
        <v>95</v>
      </c>
      <c r="D189" s="92">
        <v>46888</v>
      </c>
      <c r="E189" s="94">
        <v>6.1249999999999999E-2</v>
      </c>
      <c r="F189" s="94">
        <v>6.21875E-2</v>
      </c>
      <c r="G189" s="94">
        <v>6.3306899999999999E-2</v>
      </c>
      <c r="H189" s="94">
        <v>6.5312499999999996E-2</v>
      </c>
      <c r="I189" s="94">
        <v>6.21875E-2</v>
      </c>
      <c r="J189" s="94">
        <v>6.2998399999999996E-2</v>
      </c>
      <c r="K189" s="94">
        <v>6.3125000000000001E-2</v>
      </c>
      <c r="L189" s="96"/>
      <c r="M189" s="96">
        <v>2547500</v>
      </c>
      <c r="N189" s="96">
        <v>1500000</v>
      </c>
      <c r="O189" s="96">
        <v>1500000</v>
      </c>
      <c r="P189" s="97">
        <f t="shared" si="11"/>
        <v>1.6983333333333333</v>
      </c>
      <c r="Q189" s="98">
        <v>6.3E-2</v>
      </c>
      <c r="R189" s="56">
        <v>0</v>
      </c>
      <c r="S189" s="57">
        <v>0</v>
      </c>
      <c r="T189" s="57"/>
    </row>
    <row r="190" spans="1:20" ht="13.5" customHeight="1" x14ac:dyDescent="0.2">
      <c r="A190" s="89"/>
      <c r="B190" s="89"/>
      <c r="C190" s="91" t="s">
        <v>98</v>
      </c>
      <c r="D190" s="92">
        <v>48714</v>
      </c>
      <c r="E190" s="94">
        <v>6.6250000000000003E-2</v>
      </c>
      <c r="F190" s="94">
        <v>6.5312499999999996E-2</v>
      </c>
      <c r="G190" s="94">
        <v>6.6240099999999996E-2</v>
      </c>
      <c r="H190" s="94">
        <v>6.8125000000000005E-2</v>
      </c>
      <c r="I190" s="94">
        <v>6.5312499999999996E-2</v>
      </c>
      <c r="J190" s="94">
        <v>6.5821299999999999E-2</v>
      </c>
      <c r="K190" s="94">
        <v>6.5937499999999996E-2</v>
      </c>
      <c r="L190" s="96"/>
      <c r="M190" s="96">
        <v>6752400</v>
      </c>
      <c r="N190" s="96">
        <v>6752400</v>
      </c>
      <c r="O190" s="96">
        <v>2400000</v>
      </c>
      <c r="P190" s="97">
        <f t="shared" si="11"/>
        <v>2.8134999999999999</v>
      </c>
      <c r="Q190" s="98">
        <v>6.6299999999999998E-2</v>
      </c>
      <c r="R190" s="56">
        <v>1.9887751488813776E-3</v>
      </c>
      <c r="S190" s="57">
        <v>29293528.561597757</v>
      </c>
      <c r="T190" s="57"/>
    </row>
    <row r="191" spans="1:20" s="71" customFormat="1" ht="13.5" customHeight="1" x14ac:dyDescent="0.2">
      <c r="A191" s="76">
        <v>41190</v>
      </c>
      <c r="B191" s="76">
        <f>A191+2</f>
        <v>41192</v>
      </c>
      <c r="C191" s="64" t="s">
        <v>107</v>
      </c>
      <c r="D191" s="65">
        <v>42292</v>
      </c>
      <c r="E191" s="66">
        <v>6.25E-2</v>
      </c>
      <c r="F191" s="80"/>
      <c r="G191" s="80"/>
      <c r="H191" s="80"/>
      <c r="I191" s="80"/>
      <c r="J191" s="66">
        <v>6.25E-2</v>
      </c>
      <c r="K191" s="66"/>
      <c r="L191" s="82">
        <v>12000000</v>
      </c>
      <c r="M191" s="82">
        <v>12765145</v>
      </c>
      <c r="N191" s="82">
        <v>12676745</v>
      </c>
      <c r="O191" s="82">
        <v>12676745</v>
      </c>
      <c r="P191" s="69">
        <f t="shared" si="11"/>
        <v>1.0069733989285103</v>
      </c>
      <c r="Q191" s="157"/>
      <c r="R191" s="108"/>
      <c r="S191" s="158">
        <f>O191*J191/$R$10</f>
        <v>811881715.17901385</v>
      </c>
      <c r="T191" s="158"/>
    </row>
    <row r="192" spans="1:20" ht="13.5" customHeight="1" x14ac:dyDescent="0.2">
      <c r="A192" s="124">
        <v>41198</v>
      </c>
      <c r="B192" s="124">
        <v>41200</v>
      </c>
      <c r="C192" s="125" t="s">
        <v>109</v>
      </c>
      <c r="D192" s="126">
        <v>41381</v>
      </c>
      <c r="E192" s="94"/>
      <c r="F192" s="128">
        <v>4.7500000000000001E-2</v>
      </c>
      <c r="G192" s="128"/>
      <c r="H192" s="128">
        <v>5.5E-2</v>
      </c>
      <c r="I192" s="128">
        <v>4.7500000000000001E-2</v>
      </c>
      <c r="J192" s="94">
        <v>4.7500000000000001E-2</v>
      </c>
      <c r="K192" s="94"/>
      <c r="L192" s="130">
        <v>1000000</v>
      </c>
      <c r="M192" s="130">
        <v>226000</v>
      </c>
      <c r="N192" s="130"/>
      <c r="O192" s="130">
        <v>105000</v>
      </c>
      <c r="P192" s="97">
        <f t="shared" si="11"/>
        <v>2.1523809523809523</v>
      </c>
      <c r="Q192" s="132"/>
      <c r="R192" s="56"/>
      <c r="S192" s="57">
        <f>O192*J192/$R$10</f>
        <v>5110788.3665156402</v>
      </c>
      <c r="T192" s="57"/>
    </row>
    <row r="193" spans="1:20" ht="13.5" customHeight="1" x14ac:dyDescent="0.2">
      <c r="A193" s="89"/>
      <c r="B193" s="89"/>
      <c r="C193" s="91" t="s">
        <v>48</v>
      </c>
      <c r="D193" s="92">
        <v>43146</v>
      </c>
      <c r="E193" s="94">
        <v>4.4499999999999998E-2</v>
      </c>
      <c r="F193" s="94">
        <v>5.9374999999999997E-2</v>
      </c>
      <c r="G193" s="94"/>
      <c r="H193" s="94">
        <v>6.5000000000000002E-2</v>
      </c>
      <c r="I193" s="94"/>
      <c r="J193" s="94"/>
      <c r="K193" s="94"/>
      <c r="L193" s="96"/>
      <c r="M193" s="96">
        <v>1256000</v>
      </c>
      <c r="N193" s="96"/>
      <c r="O193" s="96"/>
      <c r="P193" s="97"/>
      <c r="Q193" s="98"/>
      <c r="R193" s="56"/>
      <c r="S193" s="57"/>
      <c r="T193" s="57"/>
    </row>
    <row r="194" spans="1:20" ht="13.5" customHeight="1" x14ac:dyDescent="0.2">
      <c r="A194" s="89"/>
      <c r="B194" s="89"/>
      <c r="C194" s="91" t="s">
        <v>49</v>
      </c>
      <c r="D194" s="92">
        <v>44576</v>
      </c>
      <c r="E194" s="94">
        <v>5.45E-2</v>
      </c>
      <c r="F194" s="94">
        <v>6.1562499999999999E-2</v>
      </c>
      <c r="G194" s="94"/>
      <c r="H194" s="94">
        <v>7.0000000000000007E-2</v>
      </c>
      <c r="I194" s="94"/>
      <c r="J194" s="94"/>
      <c r="K194" s="94"/>
      <c r="L194" s="96"/>
      <c r="M194" s="96">
        <v>193000</v>
      </c>
      <c r="N194" s="96"/>
      <c r="O194" s="96"/>
      <c r="P194" s="97"/>
      <c r="Q194" s="98"/>
      <c r="R194" s="56"/>
      <c r="S194" s="57"/>
      <c r="T194" s="57"/>
    </row>
    <row r="195" spans="1:20" ht="13.5" customHeight="1" x14ac:dyDescent="0.2">
      <c r="A195" s="89"/>
      <c r="B195" s="89"/>
      <c r="C195" s="91" t="s">
        <v>50</v>
      </c>
      <c r="D195" s="92">
        <v>46402</v>
      </c>
      <c r="E195" s="94">
        <v>0.06</v>
      </c>
      <c r="F195" s="94">
        <v>6.5625000000000003E-2</v>
      </c>
      <c r="G195" s="94"/>
      <c r="H195" s="94">
        <v>7.2499999999999995E-2</v>
      </c>
      <c r="I195" s="94"/>
      <c r="J195" s="94"/>
      <c r="K195" s="94"/>
      <c r="L195" s="96"/>
      <c r="M195" s="96">
        <v>205000</v>
      </c>
      <c r="N195" s="96"/>
      <c r="O195" s="96"/>
      <c r="P195" s="97"/>
      <c r="Q195" s="98"/>
      <c r="R195" s="56" t="e">
        <f>O195*J195/$O$43</f>
        <v>#DIV/0!</v>
      </c>
      <c r="S195" s="57">
        <f>O195*J195/$R$10</f>
        <v>0</v>
      </c>
      <c r="T195" s="57"/>
    </row>
    <row r="196" spans="1:20" ht="13.5" customHeight="1" x14ac:dyDescent="0.2">
      <c r="A196" s="89"/>
      <c r="B196" s="89"/>
      <c r="C196" s="91" t="s">
        <v>53</v>
      </c>
      <c r="D196" s="92">
        <v>50086</v>
      </c>
      <c r="E196" s="94">
        <v>6.0999999999999999E-2</v>
      </c>
      <c r="F196" s="94">
        <v>6.7187499999999997E-2</v>
      </c>
      <c r="G196" s="94"/>
      <c r="H196" s="94">
        <v>7.4999999999999997E-2</v>
      </c>
      <c r="I196" s="94">
        <v>6.7187499999999997E-2</v>
      </c>
      <c r="J196" s="94">
        <v>6.8368899999999996E-2</v>
      </c>
      <c r="K196" s="94"/>
      <c r="L196" s="96"/>
      <c r="M196" s="96">
        <v>261000</v>
      </c>
      <c r="N196" s="96"/>
      <c r="O196" s="96">
        <v>260000</v>
      </c>
      <c r="P196" s="97">
        <f t="shared" ref="P196:P202" si="12">M196/O196</f>
        <v>1.0038461538461538</v>
      </c>
      <c r="Q196" s="98"/>
      <c r="R196" s="56" t="e">
        <f>O196*J196/$O$43</f>
        <v>#DIV/0!</v>
      </c>
      <c r="S196" s="57">
        <f>O196*J196/$R$10</f>
        <v>18215325.208096739</v>
      </c>
      <c r="T196" s="57"/>
    </row>
    <row r="197" spans="1:20" s="71" customFormat="1" ht="13.5" customHeight="1" x14ac:dyDescent="0.2">
      <c r="A197" s="76">
        <v>41205</v>
      </c>
      <c r="B197" s="76">
        <v>41207</v>
      </c>
      <c r="C197" s="64" t="s">
        <v>106</v>
      </c>
      <c r="D197" s="65">
        <v>41554</v>
      </c>
      <c r="E197" s="66"/>
      <c r="F197" s="66">
        <v>4.4687499999999998E-2</v>
      </c>
      <c r="G197" s="66">
        <v>4.72273E-2</v>
      </c>
      <c r="H197" s="66">
        <v>4.8125000000000001E-2</v>
      </c>
      <c r="I197" s="66">
        <v>4.4687499999999998E-2</v>
      </c>
      <c r="J197" s="66">
        <v>4.5656299999999997E-2</v>
      </c>
      <c r="K197" s="66">
        <v>4.6875E-2</v>
      </c>
      <c r="L197" s="68">
        <v>6000000</v>
      </c>
      <c r="M197" s="68">
        <v>1510000</v>
      </c>
      <c r="N197" s="68">
        <v>200000</v>
      </c>
      <c r="O197" s="68">
        <v>200000</v>
      </c>
      <c r="P197" s="69">
        <f t="shared" si="12"/>
        <v>7.55</v>
      </c>
      <c r="Q197" s="108">
        <v>4.5999999999999999E-2</v>
      </c>
      <c r="R197" s="108"/>
      <c r="S197" s="158"/>
      <c r="T197" s="158"/>
    </row>
    <row r="198" spans="1:20" s="71" customFormat="1" ht="13.5" customHeight="1" x14ac:dyDescent="0.2">
      <c r="A198" s="73"/>
      <c r="B198" s="73"/>
      <c r="C198" s="64" t="s">
        <v>110</v>
      </c>
      <c r="D198" s="65">
        <v>45061</v>
      </c>
      <c r="E198" s="66">
        <v>5.6250000000000001E-2</v>
      </c>
      <c r="F198" s="66">
        <v>5.1874999999999998E-2</v>
      </c>
      <c r="G198" s="66">
        <v>5.44795E-2</v>
      </c>
      <c r="H198" s="66">
        <v>5.6562500000000002E-2</v>
      </c>
      <c r="I198" s="66">
        <v>5.1874999999999998E-2</v>
      </c>
      <c r="J198" s="66">
        <v>5.3864299999999997E-2</v>
      </c>
      <c r="K198" s="66">
        <v>5.46875E-2</v>
      </c>
      <c r="L198" s="68"/>
      <c r="M198" s="68">
        <v>4306000</v>
      </c>
      <c r="N198" s="68">
        <v>3100000</v>
      </c>
      <c r="O198" s="68">
        <v>2550000</v>
      </c>
      <c r="P198" s="69">
        <f t="shared" si="12"/>
        <v>1.6886274509803922</v>
      </c>
      <c r="Q198" s="108">
        <v>5.4100000000000002E-2</v>
      </c>
      <c r="R198" s="108">
        <v>0</v>
      </c>
      <c r="S198" s="158">
        <v>0</v>
      </c>
      <c r="T198" s="158"/>
    </row>
    <row r="199" spans="1:20" s="71" customFormat="1" ht="13.5" customHeight="1" x14ac:dyDescent="0.2">
      <c r="A199" s="73"/>
      <c r="B199" s="73"/>
      <c r="C199" s="64" t="s">
        <v>94</v>
      </c>
      <c r="D199" s="65">
        <v>45061</v>
      </c>
      <c r="E199" s="66">
        <v>5.6250000000000001E-2</v>
      </c>
      <c r="F199" s="66">
        <v>5.5625000000000001E-2</v>
      </c>
      <c r="G199" s="66">
        <v>5.7547000000000001E-2</v>
      </c>
      <c r="H199" s="66">
        <v>5.8749999999999997E-2</v>
      </c>
      <c r="I199" s="66">
        <v>5.5625000000000001E-2</v>
      </c>
      <c r="J199" s="66">
        <v>5.7285700000000002E-2</v>
      </c>
      <c r="K199" s="66">
        <v>5.7500000000000002E-2</v>
      </c>
      <c r="L199" s="68"/>
      <c r="M199" s="68">
        <v>4917000</v>
      </c>
      <c r="N199" s="68">
        <v>3300000</v>
      </c>
      <c r="O199" s="68">
        <v>3250000</v>
      </c>
      <c r="P199" s="69">
        <f t="shared" si="12"/>
        <v>1.5129230769230768</v>
      </c>
      <c r="Q199" s="108">
        <v>5.7299999999999997E-2</v>
      </c>
      <c r="R199" s="108">
        <v>0</v>
      </c>
      <c r="S199" s="158">
        <v>0</v>
      </c>
      <c r="T199" s="158"/>
    </row>
    <row r="200" spans="1:20" s="71" customFormat="1" ht="13.5" customHeight="1" x14ac:dyDescent="0.2">
      <c r="A200" s="73"/>
      <c r="B200" s="73"/>
      <c r="C200" s="64" t="s">
        <v>98</v>
      </c>
      <c r="D200" s="65">
        <v>48714</v>
      </c>
      <c r="E200" s="66">
        <v>6.6250000000000003E-2</v>
      </c>
      <c r="F200" s="66">
        <v>6.4687499999999995E-2</v>
      </c>
      <c r="G200" s="66">
        <v>6.5432900000000002E-2</v>
      </c>
      <c r="H200" s="66">
        <v>6.7500000000000004E-2</v>
      </c>
      <c r="I200" s="66">
        <v>6.4687499999999995E-2</v>
      </c>
      <c r="J200" s="66">
        <v>6.5143599999999996E-2</v>
      </c>
      <c r="K200" s="66">
        <v>6.5312499999999996E-2</v>
      </c>
      <c r="L200" s="68"/>
      <c r="M200" s="68">
        <v>7234000</v>
      </c>
      <c r="N200" s="68">
        <v>7234000</v>
      </c>
      <c r="O200" s="68">
        <v>3000000</v>
      </c>
      <c r="P200" s="69">
        <f t="shared" si="12"/>
        <v>2.4113333333333333</v>
      </c>
      <c r="Q200" s="108">
        <v>6.5500000000000003E-2</v>
      </c>
      <c r="R200" s="108">
        <v>1.9887751488813776E-3</v>
      </c>
      <c r="S200" s="158">
        <v>29293528.561597757</v>
      </c>
      <c r="T200" s="158"/>
    </row>
    <row r="201" spans="1:20" ht="13.5" customHeight="1" x14ac:dyDescent="0.2">
      <c r="A201" s="124">
        <v>41212</v>
      </c>
      <c r="B201" s="124">
        <v>41214</v>
      </c>
      <c r="C201" s="125" t="s">
        <v>111</v>
      </c>
      <c r="D201" s="126">
        <v>41394</v>
      </c>
      <c r="E201" s="94"/>
      <c r="F201" s="128">
        <v>4.7812500000000001E-2</v>
      </c>
      <c r="G201" s="128"/>
      <c r="H201" s="128">
        <v>5.5E-2</v>
      </c>
      <c r="I201" s="128"/>
      <c r="J201" s="94"/>
      <c r="K201" s="94"/>
      <c r="L201" s="130">
        <v>1000000</v>
      </c>
      <c r="M201" s="130">
        <v>921000</v>
      </c>
      <c r="N201" s="130"/>
      <c r="O201" s="130"/>
      <c r="P201" s="97"/>
      <c r="Q201" s="132"/>
      <c r="R201" s="56"/>
      <c r="S201" s="57">
        <f>O201*J201/$R$10</f>
        <v>0</v>
      </c>
      <c r="T201" s="57"/>
    </row>
    <row r="202" spans="1:20" ht="13.5" customHeight="1" x14ac:dyDescent="0.2">
      <c r="A202" s="89"/>
      <c r="B202" s="89"/>
      <c r="C202" s="91" t="s">
        <v>48</v>
      </c>
      <c r="D202" s="92">
        <v>43146</v>
      </c>
      <c r="E202" s="94">
        <v>4.4499999999999998E-2</v>
      </c>
      <c r="F202" s="94">
        <v>5.9687499999999998E-2</v>
      </c>
      <c r="G202" s="94"/>
      <c r="H202" s="94">
        <v>6.25E-2</v>
      </c>
      <c r="I202" s="94"/>
      <c r="J202" s="94">
        <v>6.0100000000000001E-2</v>
      </c>
      <c r="K202" s="94"/>
      <c r="L202" s="96"/>
      <c r="M202" s="96">
        <v>1286000</v>
      </c>
      <c r="N202" s="96"/>
      <c r="O202" s="96">
        <v>640000</v>
      </c>
      <c r="P202" s="97">
        <f t="shared" si="12"/>
        <v>2.0093749999999999</v>
      </c>
      <c r="Q202" s="98"/>
      <c r="R202" s="56"/>
      <c r="S202" s="57"/>
      <c r="T202" s="57"/>
    </row>
    <row r="203" spans="1:20" ht="13.5" customHeight="1" x14ac:dyDescent="0.2">
      <c r="A203" s="89"/>
      <c r="B203" s="89"/>
      <c r="C203" s="91" t="s">
        <v>49</v>
      </c>
      <c r="D203" s="92">
        <v>44576</v>
      </c>
      <c r="E203" s="94">
        <v>5.45E-2</v>
      </c>
      <c r="F203" s="94">
        <v>6.1249999999999999E-2</v>
      </c>
      <c r="G203" s="94"/>
      <c r="H203" s="94">
        <v>6.7500000000000004E-2</v>
      </c>
      <c r="I203" s="94"/>
      <c r="J203" s="94"/>
      <c r="K203" s="94"/>
      <c r="L203" s="96"/>
      <c r="M203" s="96">
        <v>63000</v>
      </c>
      <c r="N203" s="96"/>
      <c r="O203" s="96"/>
      <c r="P203" s="97"/>
      <c r="Q203" s="98"/>
      <c r="R203" s="56"/>
      <c r="S203" s="57"/>
      <c r="T203" s="57"/>
    </row>
    <row r="204" spans="1:20" ht="13.5" customHeight="1" x14ac:dyDescent="0.2">
      <c r="A204" s="89"/>
      <c r="B204" s="89"/>
      <c r="C204" s="91" t="s">
        <v>50</v>
      </c>
      <c r="D204" s="92">
        <v>46402</v>
      </c>
      <c r="E204" s="94">
        <v>0.06</v>
      </c>
      <c r="F204" s="94">
        <v>6.5937499999999996E-2</v>
      </c>
      <c r="G204" s="94"/>
      <c r="H204" s="94">
        <v>7.0000000000000007E-2</v>
      </c>
      <c r="I204" s="94"/>
      <c r="J204" s="94"/>
      <c r="K204" s="94"/>
      <c r="L204" s="96"/>
      <c r="M204" s="96">
        <v>66000</v>
      </c>
      <c r="N204" s="96"/>
      <c r="O204" s="96"/>
      <c r="P204" s="97"/>
      <c r="Q204" s="98"/>
      <c r="R204" s="56" t="e">
        <f>O204*J204/$O$43</f>
        <v>#DIV/0!</v>
      </c>
      <c r="S204" s="57">
        <f>O204*J204/$R$10</f>
        <v>0</v>
      </c>
      <c r="T204" s="57"/>
    </row>
    <row r="205" spans="1:20" ht="13.5" customHeight="1" x14ac:dyDescent="0.2">
      <c r="A205" s="89"/>
      <c r="B205" s="89"/>
      <c r="C205" s="91" t="s">
        <v>53</v>
      </c>
      <c r="D205" s="92">
        <v>50086</v>
      </c>
      <c r="E205" s="94">
        <v>6.0999999999999999E-2</v>
      </c>
      <c r="F205" s="94">
        <v>6.7187499999999997E-2</v>
      </c>
      <c r="G205" s="94"/>
      <c r="H205" s="94">
        <v>7.4999999999999997E-2</v>
      </c>
      <c r="I205" s="94"/>
      <c r="J205" s="94">
        <v>6.8098500000000006E-2</v>
      </c>
      <c r="K205" s="94"/>
      <c r="L205" s="96"/>
      <c r="M205" s="96">
        <v>317000</v>
      </c>
      <c r="N205" s="96"/>
      <c r="O205" s="96">
        <v>273000</v>
      </c>
      <c r="P205" s="97">
        <f t="shared" ref="P205:P210" si="13">M205/O205</f>
        <v>1.1611721611721613</v>
      </c>
      <c r="Q205" s="98"/>
      <c r="R205" s="56" t="e">
        <f>O205*J205/$O$43</f>
        <v>#DIV/0!</v>
      </c>
      <c r="S205" s="57">
        <f>O205*J205/$R$10</f>
        <v>19050447.496855363</v>
      </c>
      <c r="T205" s="57"/>
    </row>
    <row r="206" spans="1:20" ht="13.5" customHeight="1" x14ac:dyDescent="0.2">
      <c r="A206" s="76">
        <v>41225</v>
      </c>
      <c r="B206" s="76">
        <v>41227</v>
      </c>
      <c r="C206" s="77" t="s">
        <v>112</v>
      </c>
      <c r="D206" s="78">
        <v>41318</v>
      </c>
      <c r="E206" s="80"/>
      <c r="F206" s="80">
        <v>3.6874999999999998E-2</v>
      </c>
      <c r="G206" s="80">
        <v>3.9922800000000001E-2</v>
      </c>
      <c r="H206" s="80">
        <v>4.2812500000000003E-2</v>
      </c>
      <c r="I206" s="80">
        <v>3.6874999999999998E-2</v>
      </c>
      <c r="J206" s="80">
        <v>3.7249999999999998E-2</v>
      </c>
      <c r="K206" s="80">
        <v>3.7812499999999999E-2</v>
      </c>
      <c r="L206" s="82">
        <v>5000000</v>
      </c>
      <c r="M206" s="82">
        <v>4050000</v>
      </c>
      <c r="N206" s="82">
        <v>1800000</v>
      </c>
      <c r="O206" s="82">
        <v>1000000</v>
      </c>
      <c r="P206" s="84">
        <f t="shared" si="13"/>
        <v>4.05</v>
      </c>
      <c r="Q206" s="157">
        <v>3.7999999999999999E-2</v>
      </c>
      <c r="R206" s="56"/>
      <c r="S206" s="57">
        <f>O206*J206/$R$10</f>
        <v>38170800.331369944</v>
      </c>
      <c r="T206" s="57"/>
    </row>
    <row r="207" spans="1:20" ht="13.5" customHeight="1" x14ac:dyDescent="0.2">
      <c r="A207" s="73"/>
      <c r="B207" s="73"/>
      <c r="C207" s="77" t="s">
        <v>113</v>
      </c>
      <c r="D207" s="65">
        <v>41591</v>
      </c>
      <c r="E207" s="66"/>
      <c r="F207" s="66">
        <v>4.5312499999999999E-2</v>
      </c>
      <c r="G207" s="66">
        <v>4.6971600000000002E-2</v>
      </c>
      <c r="H207" s="66">
        <v>0.05</v>
      </c>
      <c r="I207" s="66">
        <v>4.5312499999999999E-2</v>
      </c>
      <c r="J207" s="66">
        <v>4.6112500000000001E-2</v>
      </c>
      <c r="K207" s="66">
        <v>4.65625E-2</v>
      </c>
      <c r="L207" s="68"/>
      <c r="M207" s="68">
        <v>2561000</v>
      </c>
      <c r="N207" s="68">
        <v>1400000</v>
      </c>
      <c r="O207" s="68">
        <v>1000000</v>
      </c>
      <c r="P207" s="69">
        <f t="shared" si="13"/>
        <v>2.5609999999999999</v>
      </c>
      <c r="Q207" s="108">
        <v>4.65E-2</v>
      </c>
      <c r="R207" s="56"/>
      <c r="S207" s="57"/>
      <c r="T207" s="57"/>
    </row>
    <row r="208" spans="1:20" ht="13.5" customHeight="1" x14ac:dyDescent="0.2">
      <c r="A208" s="73"/>
      <c r="B208" s="73"/>
      <c r="C208" s="64" t="s">
        <v>110</v>
      </c>
      <c r="D208" s="65">
        <v>43235</v>
      </c>
      <c r="E208" s="66">
        <v>5.2499999999999998E-2</v>
      </c>
      <c r="F208" s="66">
        <v>5.0625000000000003E-2</v>
      </c>
      <c r="G208" s="66">
        <v>5.2170300000000003E-2</v>
      </c>
      <c r="H208" s="66">
        <v>5.4375E-2</v>
      </c>
      <c r="I208" s="66">
        <v>5.0625000000000003E-2</v>
      </c>
      <c r="J208" s="66">
        <v>5.16205E-2</v>
      </c>
      <c r="K208" s="66">
        <v>5.1874999999999998E-2</v>
      </c>
      <c r="L208" s="68"/>
      <c r="M208" s="68">
        <v>5177000</v>
      </c>
      <c r="N208" s="68">
        <v>4600000</v>
      </c>
      <c r="O208" s="68">
        <v>2500000</v>
      </c>
      <c r="P208" s="69">
        <f t="shared" si="13"/>
        <v>2.0708000000000002</v>
      </c>
      <c r="Q208" s="108">
        <v>5.1999999999999998E-2</v>
      </c>
      <c r="R208" s="56">
        <v>0</v>
      </c>
      <c r="S208" s="57">
        <v>0</v>
      </c>
      <c r="T208" s="57"/>
    </row>
    <row r="209" spans="1:20" ht="13.5" customHeight="1" x14ac:dyDescent="0.2">
      <c r="A209" s="73"/>
      <c r="B209" s="73"/>
      <c r="C209" s="64" t="s">
        <v>95</v>
      </c>
      <c r="D209" s="65">
        <v>46888</v>
      </c>
      <c r="E209" s="66">
        <v>6.1249999999999999E-2</v>
      </c>
      <c r="F209" s="66">
        <v>5.9687499999999998E-2</v>
      </c>
      <c r="G209" s="66">
        <v>6.0501899999999997E-2</v>
      </c>
      <c r="H209" s="66">
        <v>6.3750000000000001E-2</v>
      </c>
      <c r="I209" s="66">
        <v>5.9687499999999998E-2</v>
      </c>
      <c r="J209" s="66">
        <v>5.9989399999999998E-2</v>
      </c>
      <c r="K209" s="66">
        <v>0.06</v>
      </c>
      <c r="L209" s="68"/>
      <c r="M209" s="68">
        <v>9340000</v>
      </c>
      <c r="N209" s="68">
        <v>9300000</v>
      </c>
      <c r="O209" s="68">
        <v>1850000</v>
      </c>
      <c r="P209" s="69">
        <f t="shared" si="13"/>
        <v>5.0486486486486486</v>
      </c>
      <c r="Q209" s="108">
        <v>6.0499999999999998E-2</v>
      </c>
      <c r="R209" s="56">
        <v>0</v>
      </c>
      <c r="S209" s="57">
        <v>0</v>
      </c>
      <c r="T209" s="57"/>
    </row>
    <row r="210" spans="1:20" ht="13.5" customHeight="1" x14ac:dyDescent="0.2">
      <c r="A210" s="164"/>
      <c r="B210" s="164"/>
      <c r="C210" s="159" t="s">
        <v>98</v>
      </c>
      <c r="D210" s="160">
        <v>48714</v>
      </c>
      <c r="E210" s="161">
        <v>6.6250000000000003E-2</v>
      </c>
      <c r="F210" s="161">
        <v>6.2812499999999993E-2</v>
      </c>
      <c r="G210" s="161">
        <v>6.3654799999999997E-2</v>
      </c>
      <c r="H210" s="161">
        <v>6.4375000000000002E-2</v>
      </c>
      <c r="I210" s="161">
        <v>6.2812499999999993E-2</v>
      </c>
      <c r="J210" s="161">
        <v>6.3262200000000005E-2</v>
      </c>
      <c r="K210" s="161">
        <v>6.3437499999999994E-2</v>
      </c>
      <c r="L210" s="162"/>
      <c r="M210" s="162">
        <v>7812000</v>
      </c>
      <c r="N210" s="162">
        <v>7150000</v>
      </c>
      <c r="O210" s="162">
        <v>1150000</v>
      </c>
      <c r="P210" s="69">
        <f t="shared" si="13"/>
        <v>6.79304347826087</v>
      </c>
      <c r="Q210" s="163">
        <v>6.3600000000000004E-2</v>
      </c>
      <c r="R210" s="56">
        <v>1.9887751488813776E-3</v>
      </c>
      <c r="S210" s="57">
        <v>29293528.561597757</v>
      </c>
      <c r="T210" s="57"/>
    </row>
    <row r="211" spans="1:20" ht="13.5" customHeight="1" x14ac:dyDescent="0.2">
      <c r="A211" s="124">
        <v>41219</v>
      </c>
      <c r="B211" s="124">
        <v>41235</v>
      </c>
      <c r="C211" s="91" t="s">
        <v>114</v>
      </c>
      <c r="D211" s="92">
        <v>44887</v>
      </c>
      <c r="E211" s="94">
        <v>1.1299999999999999E-2</v>
      </c>
      <c r="F211" s="94"/>
      <c r="G211" s="94"/>
      <c r="H211" s="94"/>
      <c r="I211" s="94"/>
      <c r="J211" s="94"/>
      <c r="K211" s="94"/>
      <c r="L211" s="96">
        <v>7000000</v>
      </c>
      <c r="M211" s="166" t="s">
        <v>115</v>
      </c>
      <c r="N211" s="166" t="s">
        <v>115</v>
      </c>
      <c r="O211" s="166" t="s">
        <v>115</v>
      </c>
      <c r="P211" s="97"/>
      <c r="Q211" s="98">
        <v>4.5999999999999999E-2</v>
      </c>
      <c r="R211" s="56"/>
      <c r="S211" s="57"/>
      <c r="T211" s="57">
        <v>60000</v>
      </c>
    </row>
    <row r="212" spans="1:20" ht="13.5" customHeight="1" x14ac:dyDescent="0.2">
      <c r="A212" s="89"/>
      <c r="B212" s="99"/>
      <c r="C212" s="91"/>
      <c r="D212" s="92"/>
      <c r="E212" s="94"/>
      <c r="F212" s="94"/>
      <c r="G212" s="94"/>
      <c r="H212" s="94"/>
      <c r="I212" s="94"/>
      <c r="J212" s="94"/>
      <c r="K212" s="94"/>
      <c r="L212" s="96"/>
      <c r="M212" s="96">
        <f>$T$211*$T$212</f>
        <v>7012308</v>
      </c>
      <c r="N212" s="96">
        <f>$T$211*$T$212</f>
        <v>7012308</v>
      </c>
      <c r="O212" s="96">
        <f>$T$211*$T$212</f>
        <v>7012308</v>
      </c>
      <c r="P212" s="97"/>
      <c r="Q212" s="98"/>
      <c r="R212" s="56"/>
      <c r="S212" s="57"/>
      <c r="T212" s="57">
        <v>116.87179999999999</v>
      </c>
    </row>
    <row r="213" spans="1:20" s="71" customFormat="1" ht="13.5" customHeight="1" x14ac:dyDescent="0.2">
      <c r="A213" s="76">
        <v>41227</v>
      </c>
      <c r="B213" s="76">
        <v>41234</v>
      </c>
      <c r="C213" s="64" t="s">
        <v>116</v>
      </c>
      <c r="D213" s="65">
        <v>44886</v>
      </c>
      <c r="E213" s="66">
        <v>3.3000000000000002E-2</v>
      </c>
      <c r="F213" s="66"/>
      <c r="G213" s="66"/>
      <c r="H213" s="66"/>
      <c r="I213" s="66"/>
      <c r="J213" s="66"/>
      <c r="K213" s="66"/>
      <c r="L213" s="68">
        <v>9000000</v>
      </c>
      <c r="M213" s="152" t="s">
        <v>117</v>
      </c>
      <c r="N213" s="152" t="s">
        <v>117</v>
      </c>
      <c r="O213" s="152" t="s">
        <v>117</v>
      </c>
      <c r="P213" s="69"/>
      <c r="Q213" s="108">
        <v>4.5999999999999999E-2</v>
      </c>
      <c r="R213" s="108"/>
      <c r="S213" s="158"/>
      <c r="T213" s="158">
        <v>1000</v>
      </c>
    </row>
    <row r="214" spans="1:20" s="71" customFormat="1" ht="13.5" customHeight="1" x14ac:dyDescent="0.2">
      <c r="A214" s="73"/>
      <c r="B214" s="110"/>
      <c r="C214" s="64"/>
      <c r="D214" s="65"/>
      <c r="E214" s="66"/>
      <c r="F214" s="66"/>
      <c r="G214" s="66"/>
      <c r="H214" s="66"/>
      <c r="I214" s="66"/>
      <c r="J214" s="66"/>
      <c r="K214" s="66"/>
      <c r="L214" s="68"/>
      <c r="M214" s="68">
        <f>$T$213*$T$214</f>
        <v>9639000</v>
      </c>
      <c r="N214" s="68">
        <f>$T$213*$T$214</f>
        <v>9639000</v>
      </c>
      <c r="O214" s="68">
        <f>$T$213*$T$214</f>
        <v>9639000</v>
      </c>
      <c r="P214" s="69"/>
      <c r="Q214" s="108"/>
      <c r="R214" s="108"/>
      <c r="S214" s="158"/>
      <c r="T214" s="158">
        <v>9639</v>
      </c>
    </row>
    <row r="215" spans="1:20" ht="13.5" customHeight="1" x14ac:dyDescent="0.2">
      <c r="A215" s="124">
        <v>41246</v>
      </c>
      <c r="B215" s="124">
        <v>41248</v>
      </c>
      <c r="C215" s="91" t="s">
        <v>118</v>
      </c>
      <c r="D215" s="92">
        <v>41337</v>
      </c>
      <c r="E215" s="94"/>
      <c r="F215" s="94">
        <v>1.90625E-2</v>
      </c>
      <c r="G215" s="94">
        <v>3.3067300000000001E-2</v>
      </c>
      <c r="H215" s="94">
        <v>0.05</v>
      </c>
      <c r="I215" s="94">
        <v>1.90625E-2</v>
      </c>
      <c r="J215" s="94">
        <v>1.9508899999999999E-2</v>
      </c>
      <c r="K215" s="94">
        <v>0.02</v>
      </c>
      <c r="L215" s="96">
        <v>1000000</v>
      </c>
      <c r="M215" s="166">
        <v>5236000</v>
      </c>
      <c r="N215" s="166">
        <v>5236000</v>
      </c>
      <c r="O215" s="166">
        <v>700000</v>
      </c>
      <c r="P215" s="97">
        <f>M215/O215</f>
        <v>7.48</v>
      </c>
      <c r="Q215" s="98">
        <v>3.5000000000000003E-2</v>
      </c>
      <c r="R215" s="56"/>
      <c r="S215" s="57">
        <f>O215*J215/$R$10</f>
        <v>13993804.794879572</v>
      </c>
      <c r="T215" s="57"/>
    </row>
    <row r="216" spans="1:20" ht="13.5" customHeight="1" x14ac:dyDescent="0.2">
      <c r="A216" s="89"/>
      <c r="B216" s="99"/>
      <c r="C216" s="91" t="s">
        <v>119</v>
      </c>
      <c r="D216" s="92">
        <v>41612</v>
      </c>
      <c r="E216" s="94"/>
      <c r="F216" s="94">
        <v>4.2187500000000003E-2</v>
      </c>
      <c r="G216" s="94">
        <v>4.54952E-2</v>
      </c>
      <c r="H216" s="94">
        <v>7.0000000000000007E-2</v>
      </c>
      <c r="I216" s="94">
        <v>4.2187500000000003E-2</v>
      </c>
      <c r="J216" s="94">
        <v>4.2187500000000003E-2</v>
      </c>
      <c r="K216" s="94">
        <v>4.2187500000000003E-2</v>
      </c>
      <c r="L216" s="96"/>
      <c r="M216" s="96">
        <v>3917000</v>
      </c>
      <c r="N216" s="96">
        <v>1300000</v>
      </c>
      <c r="O216" s="96">
        <v>500000</v>
      </c>
      <c r="P216" s="97">
        <f>M216/O216</f>
        <v>7.8339999999999996</v>
      </c>
      <c r="Q216" s="98">
        <v>4.41E-2</v>
      </c>
      <c r="R216" s="56"/>
      <c r="S216" s="57"/>
      <c r="T216" s="57"/>
    </row>
    <row r="217" spans="1:20" ht="13.5" customHeight="1" x14ac:dyDescent="0.2">
      <c r="A217" s="30" t="s">
        <v>17</v>
      </c>
      <c r="B217" s="31"/>
      <c r="C217" s="32"/>
      <c r="D217" s="33" t="s">
        <v>18</v>
      </c>
      <c r="E217" s="34"/>
      <c r="F217" s="34"/>
      <c r="G217" s="34"/>
      <c r="H217" s="34"/>
      <c r="I217" s="34"/>
      <c r="J217" s="35"/>
      <c r="K217" s="35"/>
      <c r="L217" s="36">
        <f>SUM(L6:L216)</f>
        <v>241130000</v>
      </c>
      <c r="M217" s="36">
        <f>SUM(M6:M216)</f>
        <v>650421058</v>
      </c>
      <c r="N217" s="36">
        <f>SUM(N6:N216)</f>
        <v>342523758</v>
      </c>
      <c r="O217" s="36">
        <f>SUM(O6:O216)</f>
        <v>268547858</v>
      </c>
      <c r="P217" s="37">
        <f>M217/O217</f>
        <v>2.4219930959196105</v>
      </c>
      <c r="Q217" s="38"/>
      <c r="R217" s="87">
        <f>SUM(R6:R12)</f>
        <v>1.6493557546826533E-3</v>
      </c>
    </row>
    <row r="218" spans="1:20" x14ac:dyDescent="0.2">
      <c r="M218" s="39">
        <f>M217</f>
        <v>650421058</v>
      </c>
      <c r="N218" s="39">
        <f>N217</f>
        <v>342523758</v>
      </c>
      <c r="O218" s="39">
        <f>O217</f>
        <v>268547858</v>
      </c>
      <c r="R218" s="58"/>
    </row>
    <row r="219" spans="1:20" x14ac:dyDescent="0.2">
      <c r="A219" s="1" t="s">
        <v>31</v>
      </c>
      <c r="R219" s="39"/>
    </row>
    <row r="220" spans="1:20" x14ac:dyDescent="0.2">
      <c r="A220" s="1"/>
      <c r="M220" s="39"/>
      <c r="N220" s="39"/>
      <c r="O220" s="39"/>
      <c r="Q220" s="36"/>
    </row>
    <row r="221" spans="1:20" ht="27" customHeight="1" x14ac:dyDescent="0.2">
      <c r="A221" s="59"/>
      <c r="E221" s="39"/>
      <c r="F221" s="39"/>
      <c r="G221" s="39"/>
      <c r="H221" s="39"/>
      <c r="I221" s="39"/>
      <c r="J221" s="40"/>
      <c r="K221" s="40"/>
      <c r="L221" s="41" t="s">
        <v>19</v>
      </c>
      <c r="M221" s="41" t="s">
        <v>12</v>
      </c>
      <c r="N221" s="41" t="s">
        <v>13</v>
      </c>
      <c r="O221" s="41" t="s">
        <v>14</v>
      </c>
      <c r="Q221" s="36"/>
    </row>
    <row r="222" spans="1:20" x14ac:dyDescent="0.2">
      <c r="E222" s="39"/>
      <c r="F222" s="39"/>
      <c r="G222" s="39"/>
      <c r="H222" s="39"/>
      <c r="I222" s="39"/>
      <c r="L222" s="47" t="s">
        <v>20</v>
      </c>
      <c r="M222" s="42">
        <f>SUM(M8:M10,M15:M17,M24:M26,M34:M36,M43:M45,M54:M56,M65:M67,M75:M77,M89:M91,M100:M102,M109:M111,M119:M121,M129:M131,M139:M141,M154:M156,M158:M161,M169:M171,M178:M180,M188:M190,M198:M200,M208:M210)</f>
        <v>298268400</v>
      </c>
      <c r="N222" s="42">
        <f>SUM(N8:N10,N15:N17,N24:N26,N34:N36,N43:N45,N54:N56,N65:N67,N75:N77,N89:N91,N100:N102,N109:N111,N119:N121,N129:N131,N139:N141,N154:N156,N158:N161,N169:N171,N178:N180,N188:N190,N198:N200,N208:N210)</f>
        <v>170290600</v>
      </c>
      <c r="O222" s="42">
        <f>SUM(O8:O10,O15:O17,O24:O26,O34:O36,O43:O45,O54:O56,O65:O67,O75:O77,O89:O91,O100:O102,O109:O111,O119:O121,O129:O131,O139:O141,O154:O156,O158:O161,O169:O171,O178:O180,O188:O190,O198:O200,O208:O210)</f>
        <v>122245000</v>
      </c>
      <c r="P222" s="43"/>
      <c r="Q222" s="102"/>
      <c r="R222" s="40"/>
    </row>
    <row r="223" spans="1:20" x14ac:dyDescent="0.2">
      <c r="B223" s="39"/>
      <c r="C223" s="2" t="s">
        <v>18</v>
      </c>
      <c r="E223" s="39"/>
      <c r="F223" s="39"/>
      <c r="G223" s="39"/>
      <c r="H223" s="39"/>
      <c r="I223" s="39"/>
      <c r="L223" s="48" t="s">
        <v>21</v>
      </c>
      <c r="M223" s="49"/>
      <c r="N223" s="49"/>
      <c r="O223" s="49"/>
      <c r="S223" s="39"/>
    </row>
    <row r="224" spans="1:20" x14ac:dyDescent="0.2">
      <c r="B224" s="39"/>
      <c r="E224" s="39"/>
      <c r="F224" s="39"/>
      <c r="G224" s="39"/>
      <c r="H224" s="39"/>
      <c r="I224" s="39"/>
      <c r="L224" s="47" t="s">
        <v>22</v>
      </c>
      <c r="M224" s="42">
        <f>M191</f>
        <v>12765145</v>
      </c>
      <c r="N224" s="42">
        <f>N191</f>
        <v>12676745</v>
      </c>
      <c r="O224" s="42">
        <f>O191</f>
        <v>12676745</v>
      </c>
    </row>
    <row r="225" spans="1:20" x14ac:dyDescent="0.2">
      <c r="B225" s="39"/>
      <c r="E225" s="39"/>
      <c r="F225" s="39"/>
      <c r="G225" s="39"/>
      <c r="H225" s="39"/>
      <c r="I225" s="39"/>
      <c r="L225" s="48" t="s">
        <v>23</v>
      </c>
      <c r="M225" s="49">
        <f>SUM(M6:M7,M13:M14,M22:M23,M32:M33,M41:M42,M52:M53,M64,M73:M74,M88,M98:M99,M108,M117:M118,M128,M137:M138,M152:M153,M157,M167:M168,M177,M186:M187,M197,M206:M207,M215:M216)</f>
        <v>132318900</v>
      </c>
      <c r="N225" s="49">
        <f>SUM(N6:N7,N13:N14,N22:N23,N32:N33,N41:N42,N52:N53,N64,N73:N74,N88,N98:N99,N108,N117:N118,N128,N137:N138,N152:N153,N157,N167:N168,N177,N186:N187,N197,N206:N207,N215:N216)</f>
        <v>65992300</v>
      </c>
      <c r="O225" s="49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9"/>
      <c r="E226" s="39"/>
      <c r="F226" s="39"/>
      <c r="G226" s="39"/>
      <c r="H226" s="39"/>
      <c r="I226" s="39"/>
      <c r="L226" s="47" t="s">
        <v>24</v>
      </c>
      <c r="M226" s="42">
        <f>M12+M79+M81</f>
        <v>105577000</v>
      </c>
      <c r="N226" s="42">
        <f>N12+N79+N81</f>
        <v>39005000</v>
      </c>
      <c r="O226" s="42">
        <f>O12+O79+O81</f>
        <v>39005000</v>
      </c>
    </row>
    <row r="227" spans="1:20" ht="20.25" x14ac:dyDescent="0.3">
      <c r="B227" s="39"/>
      <c r="E227" s="39"/>
      <c r="F227" s="39"/>
      <c r="G227" s="39"/>
      <c r="H227" s="39"/>
      <c r="I227" s="39"/>
      <c r="L227" s="48" t="s">
        <v>25</v>
      </c>
      <c r="M227" s="49">
        <f>M212</f>
        <v>7012308</v>
      </c>
      <c r="N227" s="49">
        <f>N212</f>
        <v>7012308</v>
      </c>
      <c r="O227" s="49">
        <f>O212</f>
        <v>7012308</v>
      </c>
      <c r="P227" s="154"/>
    </row>
    <row r="228" spans="1:20" x14ac:dyDescent="0.2">
      <c r="E228" s="39"/>
      <c r="F228" s="39"/>
      <c r="G228" s="39"/>
      <c r="H228" s="39"/>
      <c r="I228" s="39"/>
      <c r="L228" s="47" t="s">
        <v>26</v>
      </c>
      <c r="M228" s="42">
        <f>M214</f>
        <v>9639000</v>
      </c>
      <c r="N228" s="42">
        <f>N214</f>
        <v>9639000</v>
      </c>
      <c r="O228" s="42">
        <f>O214</f>
        <v>9639000</v>
      </c>
      <c r="T228" s="2" t="s">
        <v>18</v>
      </c>
    </row>
    <row r="229" spans="1:20" x14ac:dyDescent="0.2">
      <c r="A229" s="39"/>
      <c r="L229" s="48" t="s">
        <v>30</v>
      </c>
      <c r="M229" s="49">
        <f>M51</f>
        <v>13613805</v>
      </c>
      <c r="N229" s="49">
        <f>N51</f>
        <v>13613805</v>
      </c>
      <c r="O229" s="49">
        <f>O51</f>
        <v>13613805</v>
      </c>
    </row>
    <row r="230" spans="1:20" x14ac:dyDescent="0.2">
      <c r="L230" s="47" t="s">
        <v>29</v>
      </c>
      <c r="M230" s="42">
        <f>SUM(M21)</f>
        <v>1676000</v>
      </c>
      <c r="N230" s="42">
        <f>SUM(N21)</f>
        <v>400000</v>
      </c>
      <c r="O230" s="42">
        <f>SUM(O21)</f>
        <v>400000</v>
      </c>
    </row>
    <row r="231" spans="1:20" x14ac:dyDescent="0.2">
      <c r="L231" s="47" t="s">
        <v>36</v>
      </c>
      <c r="M231" s="42">
        <f>SUM(M18:M20,M28:M31,M37:M40,M47:M50,M60:M63,M69:M72,M82:M85,M93:M96,M103:M106,M113:M116,M122:M125,M133:M136,M143:M146,M148:M151,M163:M166,M173:M176,M182:M185,M193:M196,M202:M205)</f>
        <v>41396500</v>
      </c>
      <c r="N231" s="42">
        <f>SUM(N18:N20,N28:N31,N37:N40,N47:N50,N60:N63,N69:N72,N82:N85,N93:N96,N103:N106,N113:N116,N122:N125,N133:N136,N143:N146,N148:N151,N163:N166,N173:N176,N182:N185,N193:N196,N202:N205)</f>
        <v>7367000</v>
      </c>
      <c r="O231" s="42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7" t="s">
        <v>33</v>
      </c>
      <c r="M232" s="42">
        <f>SUM(M27,M46,M68,M92,M97,M112,M132,M142,M147,M162,M172,M181,M192,M201)</f>
        <v>12812000</v>
      </c>
      <c r="N232" s="42">
        <f>SUM(N27,N46,N68,N92,N97,N112,N132,N142,N147,N162,N172,N181,N192,N201)</f>
        <v>1185000</v>
      </c>
      <c r="O232" s="42">
        <f>SUM(O27,O46,O68,O92,O97,O112,O132,O142,O147,O162,O172,O181,O192,O201)</f>
        <v>1380000</v>
      </c>
    </row>
    <row r="233" spans="1:20" x14ac:dyDescent="0.2">
      <c r="L233" s="51" t="s">
        <v>17</v>
      </c>
      <c r="M233" s="52">
        <f>SUM(M222:M232)</f>
        <v>635079058</v>
      </c>
      <c r="N233" s="52">
        <f>SUM(N222:N232)</f>
        <v>327181758</v>
      </c>
      <c r="O233" s="52">
        <f>SUM(O222:O232)</f>
        <v>253205858</v>
      </c>
    </row>
    <row r="234" spans="1:20" x14ac:dyDescent="0.2">
      <c r="L234" s="48" t="s">
        <v>27</v>
      </c>
      <c r="M234" s="49">
        <f>SUM(M57:M59,M86:M87,M107,M126:M127)</f>
        <v>15342000</v>
      </c>
      <c r="N234" s="49">
        <f>SUM(N57:N59,N86:N87,N107,N126:N127)</f>
        <v>15342000</v>
      </c>
      <c r="O234" s="49">
        <f>SUM(O57:O59,O86:O87,O107,O126:O127)</f>
        <v>15342000</v>
      </c>
    </row>
    <row r="235" spans="1:20" x14ac:dyDescent="0.2">
      <c r="L235" s="44" t="s">
        <v>28</v>
      </c>
      <c r="M235" s="45">
        <f>M233+M234</f>
        <v>650421058</v>
      </c>
      <c r="N235" s="45">
        <f>N233+N234</f>
        <v>342523758</v>
      </c>
      <c r="O235" s="45">
        <f>O233+O234</f>
        <v>268547858</v>
      </c>
    </row>
    <row r="236" spans="1:20" x14ac:dyDescent="0.2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9"/>
      <c r="N238" s="39"/>
      <c r="O238" s="39"/>
    </row>
    <row r="239" spans="1:20" x14ac:dyDescent="0.2">
      <c r="O239" s="39"/>
    </row>
    <row r="240" spans="1:20" x14ac:dyDescent="0.2">
      <c r="O240" s="86"/>
    </row>
    <row r="241" spans="12:16" x14ac:dyDescent="0.2">
      <c r="M241" s="39"/>
      <c r="N241" s="39"/>
      <c r="O241" s="86"/>
    </row>
    <row r="242" spans="12:16" x14ac:dyDescent="0.2">
      <c r="O242" s="86"/>
    </row>
    <row r="247" spans="12:16" x14ac:dyDescent="0.2">
      <c r="N247" s="116" t="s">
        <v>76</v>
      </c>
      <c r="O247" s="116"/>
      <c r="P247" s="117">
        <v>270419408</v>
      </c>
    </row>
    <row r="248" spans="12:16" x14ac:dyDescent="0.2">
      <c r="N248" s="116" t="s">
        <v>77</v>
      </c>
      <c r="O248" s="116"/>
      <c r="P248" s="118">
        <f>P247-O217</f>
        <v>1871550</v>
      </c>
    </row>
    <row r="249" spans="12:16" x14ac:dyDescent="0.2">
      <c r="L249" s="2">
        <f>223+48</f>
        <v>271</v>
      </c>
      <c r="N249" s="116" t="s">
        <v>72</v>
      </c>
      <c r="O249" s="116"/>
      <c r="P249" s="119">
        <f>O217/P247</f>
        <v>0.99307908402787426</v>
      </c>
    </row>
    <row r="250" spans="12:16" x14ac:dyDescent="0.2">
      <c r="N250" s="246" t="s">
        <v>73</v>
      </c>
      <c r="O250" s="247"/>
      <c r="P250" s="120">
        <f>100%-P249</f>
        <v>6.9209159721257407E-3</v>
      </c>
    </row>
    <row r="259" spans="15:15" x14ac:dyDescent="0.2">
      <c r="O259" s="29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336"/>
  <sheetViews>
    <sheetView showGridLines="0" tabSelected="1" zoomScaleNormal="100" zoomScaleSheetLayoutView="100" workbookViewId="0">
      <pane xSplit="4" ySplit="3" topLeftCell="E316" activePane="bottomRight" state="frozen"/>
      <selection pane="topRight" activeCell="D1" sqref="D1"/>
      <selection pane="bottomLeft" activeCell="A4" sqref="A4"/>
      <selection pane="bottomRight" activeCell="K198" sqref="K198"/>
    </sheetView>
  </sheetViews>
  <sheetFormatPr defaultRowHeight="11.25" x14ac:dyDescent="0.2"/>
  <cols>
    <col min="1" max="1" width="9.140625" style="173" customWidth="1"/>
    <col min="2" max="2" width="12.28515625" style="173" customWidth="1"/>
    <col min="3" max="3" width="14.7109375" style="173" customWidth="1"/>
    <col min="4" max="4" width="13.5703125" style="2" bestFit="1" customWidth="1"/>
    <col min="5" max="5" width="13.28515625" style="173" bestFit="1" customWidth="1"/>
    <col min="6" max="6" width="12" style="182" customWidth="1"/>
    <col min="7" max="8" width="10.7109375" style="173" customWidth="1"/>
    <col min="9" max="9" width="12.28515625" style="173" customWidth="1"/>
    <col min="10" max="10" width="11.140625" style="173" bestFit="1" customWidth="1"/>
    <col min="11" max="12" width="15.7109375" style="173" bestFit="1" customWidth="1"/>
    <col min="13" max="13" width="8" style="173" bestFit="1" customWidth="1"/>
    <col min="14" max="14" width="9.140625" style="2"/>
    <col min="15" max="15" width="18.28515625" style="2" bestFit="1" customWidth="1"/>
    <col min="16" max="16" width="12.85546875" style="2" bestFit="1" customWidth="1"/>
    <col min="17" max="16384" width="9.140625" style="2"/>
  </cols>
  <sheetData>
    <row r="1" spans="1:23" ht="24.75" customHeight="1" x14ac:dyDescent="0.2">
      <c r="A1" s="174" t="s">
        <v>235</v>
      </c>
      <c r="B1" s="170"/>
      <c r="C1" s="170"/>
    </row>
    <row r="2" spans="1:23" x14ac:dyDescent="0.2">
      <c r="L2" s="266" t="s">
        <v>220</v>
      </c>
      <c r="M2" s="266"/>
    </row>
    <row r="3" spans="1:23" ht="45" x14ac:dyDescent="0.2">
      <c r="A3" s="203" t="s">
        <v>152</v>
      </c>
      <c r="B3" s="203" t="s">
        <v>153</v>
      </c>
      <c r="C3" s="203" t="s">
        <v>154</v>
      </c>
      <c r="D3" s="203" t="s">
        <v>155</v>
      </c>
      <c r="E3" s="203" t="s">
        <v>156</v>
      </c>
      <c r="F3" s="204" t="s">
        <v>157</v>
      </c>
      <c r="G3" s="203" t="s">
        <v>5</v>
      </c>
      <c r="H3" s="203" t="s">
        <v>7</v>
      </c>
      <c r="I3" s="205" t="s">
        <v>120</v>
      </c>
      <c r="J3" s="203" t="s">
        <v>10</v>
      </c>
      <c r="K3" s="203" t="s">
        <v>158</v>
      </c>
      <c r="L3" s="203" t="s">
        <v>159</v>
      </c>
      <c r="M3" s="203" t="s">
        <v>15</v>
      </c>
    </row>
    <row r="4" spans="1:23" s="71" customFormat="1" x14ac:dyDescent="0.2">
      <c r="A4" s="177">
        <v>42340</v>
      </c>
      <c r="B4" s="194">
        <v>42346</v>
      </c>
      <c r="C4" s="202" t="s">
        <v>142</v>
      </c>
      <c r="D4" s="176" t="s">
        <v>136</v>
      </c>
      <c r="E4" s="177">
        <v>46030</v>
      </c>
      <c r="F4" s="178">
        <v>4.7500000000000001E-2</v>
      </c>
      <c r="G4" s="195"/>
      <c r="H4" s="195"/>
      <c r="I4" s="196">
        <v>4.8000000000000001E-2</v>
      </c>
      <c r="J4" s="197"/>
      <c r="K4" s="198" t="s">
        <v>137</v>
      </c>
      <c r="L4" s="198" t="s">
        <v>138</v>
      </c>
      <c r="M4" s="168"/>
      <c r="N4" s="189"/>
    </row>
    <row r="5" spans="1:23" s="71" customFormat="1" ht="13.5" customHeight="1" x14ac:dyDescent="0.2">
      <c r="A5" s="199"/>
      <c r="B5" s="199"/>
      <c r="C5" s="199"/>
      <c r="D5" s="176"/>
      <c r="E5" s="177"/>
      <c r="F5" s="178"/>
      <c r="G5" s="195"/>
      <c r="H5" s="195"/>
      <c r="I5" s="200"/>
      <c r="J5" s="201"/>
      <c r="K5" s="168">
        <f>5500*13853</f>
        <v>76191500</v>
      </c>
      <c r="L5" s="168">
        <f>2250*13898</f>
        <v>31270500</v>
      </c>
      <c r="M5" s="180">
        <f>K5/L5</f>
        <v>2.4365296365584177</v>
      </c>
      <c r="N5" s="190"/>
      <c r="O5" s="221"/>
    </row>
    <row r="6" spans="1:23" s="71" customFormat="1" ht="13.5" customHeight="1" x14ac:dyDescent="0.2">
      <c r="A6" s="171"/>
      <c r="B6" s="171"/>
      <c r="C6" s="171"/>
      <c r="D6" s="176" t="s">
        <v>139</v>
      </c>
      <c r="E6" s="177">
        <v>53335</v>
      </c>
      <c r="F6" s="178">
        <v>5.9499999999999997E-2</v>
      </c>
      <c r="G6" s="178"/>
      <c r="H6" s="178"/>
      <c r="I6" s="179">
        <v>0.06</v>
      </c>
      <c r="J6" s="179"/>
      <c r="K6" s="168" t="s">
        <v>140</v>
      </c>
      <c r="L6" s="168" t="s">
        <v>141</v>
      </c>
      <c r="M6" s="180"/>
      <c r="N6" s="191"/>
      <c r="O6" s="220"/>
      <c r="P6" s="158"/>
      <c r="Q6" s="192"/>
      <c r="R6" s="193"/>
    </row>
    <row r="7" spans="1:23" s="71" customFormat="1" ht="13.5" customHeight="1" x14ac:dyDescent="0.2">
      <c r="A7" s="171"/>
      <c r="B7" s="171"/>
      <c r="C7" s="171"/>
      <c r="D7" s="176"/>
      <c r="E7" s="181"/>
      <c r="F7" s="178"/>
      <c r="G7" s="178"/>
      <c r="H7" s="178"/>
      <c r="I7" s="179"/>
      <c r="J7" s="179"/>
      <c r="K7" s="183">
        <f>2600*13853</f>
        <v>36017800</v>
      </c>
      <c r="L7" s="183">
        <f>1250*13898</f>
        <v>17372500</v>
      </c>
      <c r="M7" s="180">
        <f>K7/L7</f>
        <v>2.073265218016981</v>
      </c>
      <c r="N7" s="191"/>
      <c r="O7" s="221"/>
      <c r="P7" s="158"/>
      <c r="Q7" s="158"/>
      <c r="W7" s="193"/>
    </row>
    <row r="8" spans="1:23" s="71" customFormat="1" ht="13.5" customHeight="1" x14ac:dyDescent="0.2">
      <c r="A8" s="171">
        <v>42342</v>
      </c>
      <c r="B8" s="171">
        <v>42348</v>
      </c>
      <c r="C8" s="202" t="s">
        <v>143</v>
      </c>
      <c r="D8" s="176" t="s">
        <v>128</v>
      </c>
      <c r="E8" s="181">
        <v>43125</v>
      </c>
      <c r="F8" s="178">
        <v>7.7499999999999999E-2</v>
      </c>
      <c r="G8" s="178"/>
      <c r="H8" s="178"/>
      <c r="I8" s="178">
        <v>8.5000000000000006E-2</v>
      </c>
      <c r="J8" s="178"/>
      <c r="K8" s="183">
        <v>1000000</v>
      </c>
      <c r="L8" s="183">
        <v>1000000</v>
      </c>
      <c r="M8" s="184"/>
    </row>
    <row r="9" spans="1:23" s="71" customFormat="1" ht="13.5" customHeight="1" x14ac:dyDescent="0.2">
      <c r="A9" s="171">
        <v>42356</v>
      </c>
      <c r="B9" s="171">
        <v>42361</v>
      </c>
      <c r="C9" s="202" t="s">
        <v>143</v>
      </c>
      <c r="D9" s="176" t="s">
        <v>134</v>
      </c>
      <c r="E9" s="181">
        <v>45366</v>
      </c>
      <c r="F9" s="178">
        <v>8.3750000000000005E-2</v>
      </c>
      <c r="G9" s="178"/>
      <c r="H9" s="178"/>
      <c r="I9" s="178">
        <v>8.7099999999999997E-2</v>
      </c>
      <c r="J9" s="178"/>
      <c r="K9" s="183">
        <v>7000000</v>
      </c>
      <c r="L9" s="183">
        <v>7000000</v>
      </c>
      <c r="M9" s="184"/>
    </row>
    <row r="10" spans="1:23" s="71" customFormat="1" ht="13.5" customHeight="1" x14ac:dyDescent="0.2">
      <c r="A10" s="171"/>
      <c r="B10" s="171">
        <v>42367</v>
      </c>
      <c r="C10" s="202" t="s">
        <v>143</v>
      </c>
      <c r="D10" s="176" t="s">
        <v>135</v>
      </c>
      <c r="E10" s="181">
        <v>42615</v>
      </c>
      <c r="F10" s="178" t="s">
        <v>132</v>
      </c>
      <c r="G10" s="178"/>
      <c r="H10" s="178"/>
      <c r="I10" s="178">
        <v>8.6800000000000002E-2</v>
      </c>
      <c r="J10" s="178"/>
      <c r="K10" s="183">
        <v>7000000</v>
      </c>
      <c r="L10" s="183">
        <v>7000000</v>
      </c>
      <c r="M10" s="184"/>
    </row>
    <row r="11" spans="1:23" s="71" customFormat="1" ht="13.5" customHeight="1" x14ac:dyDescent="0.2">
      <c r="A11" s="248" t="s">
        <v>146</v>
      </c>
      <c r="B11" s="249"/>
      <c r="C11" s="249"/>
      <c r="D11" s="249"/>
      <c r="E11" s="249"/>
      <c r="F11" s="249"/>
      <c r="G11" s="249"/>
      <c r="H11" s="249"/>
      <c r="I11" s="249"/>
      <c r="J11" s="250"/>
      <c r="K11" s="187">
        <f>SUM(K5,K7,K8,K9,K10)</f>
        <v>127209300</v>
      </c>
      <c r="L11" s="187">
        <f>SUM(L5,L7,L8,L9,L10)</f>
        <v>63643000</v>
      </c>
      <c r="M11" s="188"/>
    </row>
    <row r="12" spans="1:23" s="71" customFormat="1" ht="13.5" customHeight="1" x14ac:dyDescent="0.2">
      <c r="A12" s="177">
        <v>42374</v>
      </c>
      <c r="B12" s="177">
        <v>42376</v>
      </c>
      <c r="C12" s="177" t="s">
        <v>144</v>
      </c>
      <c r="D12" s="176" t="s">
        <v>122</v>
      </c>
      <c r="E12" s="181">
        <v>42461</v>
      </c>
      <c r="F12" s="178" t="s">
        <v>185</v>
      </c>
      <c r="G12" s="178">
        <v>6.3500000000000001E-2</v>
      </c>
      <c r="H12" s="178">
        <v>7.7499999999999999E-2</v>
      </c>
      <c r="I12" s="179">
        <v>6.5629999999999994E-2</v>
      </c>
      <c r="J12" s="179">
        <v>6.7500000000000004E-2</v>
      </c>
      <c r="K12" s="183">
        <v>1951000</v>
      </c>
      <c r="L12" s="183">
        <v>1000000</v>
      </c>
      <c r="M12" s="180">
        <f>K12/L12</f>
        <v>1.9510000000000001</v>
      </c>
    </row>
    <row r="13" spans="1:23" s="71" customFormat="1" ht="13.5" customHeight="1" x14ac:dyDescent="0.2">
      <c r="A13" s="172"/>
      <c r="B13" s="172"/>
      <c r="C13" s="172"/>
      <c r="D13" s="176" t="s">
        <v>125</v>
      </c>
      <c r="E13" s="181">
        <v>42741</v>
      </c>
      <c r="F13" s="178" t="s">
        <v>185</v>
      </c>
      <c r="G13" s="178">
        <v>7.2499999999999995E-2</v>
      </c>
      <c r="H13" s="178">
        <v>8.0500000000000002E-2</v>
      </c>
      <c r="I13" s="179">
        <v>7.5166300000000005E-2</v>
      </c>
      <c r="J13" s="179">
        <v>7.6999999999999999E-2</v>
      </c>
      <c r="K13" s="183">
        <v>2825000</v>
      </c>
      <c r="L13" s="183">
        <v>1750000</v>
      </c>
      <c r="M13" s="180">
        <f>K13/L13</f>
        <v>1.6142857142857143</v>
      </c>
    </row>
    <row r="14" spans="1:23" s="71" customFormat="1" ht="13.5" customHeight="1" x14ac:dyDescent="0.2">
      <c r="A14" s="171"/>
      <c r="B14" s="171"/>
      <c r="C14" s="171"/>
      <c r="D14" s="176" t="s">
        <v>121</v>
      </c>
      <c r="E14" s="181">
        <v>44392</v>
      </c>
      <c r="F14" s="178">
        <v>8.2500000000000004E-2</v>
      </c>
      <c r="G14" s="178">
        <v>8.6999999999999994E-2</v>
      </c>
      <c r="H14" s="178">
        <v>9.0999999999999998E-2</v>
      </c>
      <c r="I14" s="179">
        <v>8.8196099999999999E-2</v>
      </c>
      <c r="J14" s="179">
        <v>8.8800000000000004E-2</v>
      </c>
      <c r="K14" s="184">
        <v>8418000</v>
      </c>
      <c r="L14" s="184">
        <v>3300000</v>
      </c>
      <c r="M14" s="180">
        <f>K14/L14</f>
        <v>2.5509090909090908</v>
      </c>
    </row>
    <row r="15" spans="1:23" s="71" customFormat="1" ht="13.5" customHeight="1" x14ac:dyDescent="0.2">
      <c r="A15" s="171"/>
      <c r="B15" s="171"/>
      <c r="C15" s="171"/>
      <c r="D15" s="176" t="s">
        <v>123</v>
      </c>
      <c r="E15" s="181">
        <v>46280</v>
      </c>
      <c r="F15" s="178">
        <v>8.3750000000000005E-2</v>
      </c>
      <c r="G15" s="178">
        <v>8.77E-2</v>
      </c>
      <c r="H15" s="178">
        <v>9.1999999999999998E-2</v>
      </c>
      <c r="I15" s="179">
        <v>8.8299699999999995E-2</v>
      </c>
      <c r="J15" s="179">
        <v>8.8599999999999998E-2</v>
      </c>
      <c r="K15" s="183">
        <v>11247000</v>
      </c>
      <c r="L15" s="184">
        <v>4650000</v>
      </c>
      <c r="M15" s="180">
        <f>K15/L15</f>
        <v>2.4187096774193551</v>
      </c>
    </row>
    <row r="16" spans="1:23" s="71" customFormat="1" ht="13.5" customHeight="1" x14ac:dyDescent="0.2">
      <c r="A16" s="172"/>
      <c r="B16" s="172"/>
      <c r="C16" s="172"/>
      <c r="D16" s="176" t="s">
        <v>124</v>
      </c>
      <c r="E16" s="181">
        <v>49810</v>
      </c>
      <c r="F16" s="178">
        <v>8.2500000000000004E-2</v>
      </c>
      <c r="G16" s="178">
        <v>8.9499999999999996E-2</v>
      </c>
      <c r="H16" s="178">
        <v>9.1800000000000007E-2</v>
      </c>
      <c r="I16" s="179">
        <v>9.0293200000000004E-2</v>
      </c>
      <c r="J16" s="179">
        <v>9.0499999999999997E-2</v>
      </c>
      <c r="K16" s="184">
        <v>1763000</v>
      </c>
      <c r="L16" s="184">
        <v>1300000</v>
      </c>
      <c r="M16" s="180">
        <f>K16/L16</f>
        <v>1.356153846153846</v>
      </c>
    </row>
    <row r="17" spans="1:13" s="71" customFormat="1" ht="13.5" customHeight="1" x14ac:dyDescent="0.2">
      <c r="A17" s="248" t="s">
        <v>133</v>
      </c>
      <c r="B17" s="249"/>
      <c r="C17" s="249"/>
      <c r="D17" s="249"/>
      <c r="E17" s="249"/>
      <c r="F17" s="249"/>
      <c r="G17" s="249"/>
      <c r="H17" s="249"/>
      <c r="I17" s="249"/>
      <c r="J17" s="250"/>
      <c r="K17" s="187">
        <f>SUM(K12:K16)</f>
        <v>26204000</v>
      </c>
      <c r="L17" s="187">
        <f>SUM(L12:L16)</f>
        <v>12000000</v>
      </c>
      <c r="M17" s="188"/>
    </row>
    <row r="18" spans="1:13" s="71" customFormat="1" ht="13.5" customHeight="1" x14ac:dyDescent="0.2">
      <c r="A18" s="177">
        <v>42381</v>
      </c>
      <c r="B18" s="177">
        <v>42383</v>
      </c>
      <c r="C18" s="177" t="s">
        <v>144</v>
      </c>
      <c r="D18" s="176" t="s">
        <v>126</v>
      </c>
      <c r="E18" s="181">
        <v>42564</v>
      </c>
      <c r="F18" s="178" t="s">
        <v>185</v>
      </c>
      <c r="G18" s="178">
        <v>7.03125E-2</v>
      </c>
      <c r="H18" s="178">
        <v>0.08</v>
      </c>
      <c r="I18" s="179">
        <v>7.25605E-2</v>
      </c>
      <c r="J18" s="179">
        <v>7.3749999999999996E-2</v>
      </c>
      <c r="K18" s="183">
        <v>2901000</v>
      </c>
      <c r="L18" s="184">
        <v>1000000</v>
      </c>
      <c r="M18" s="180">
        <f>K18/L18</f>
        <v>2.9009999999999998</v>
      </c>
    </row>
    <row r="19" spans="1:13" s="71" customFormat="1" ht="13.5" customHeight="1" x14ac:dyDescent="0.2">
      <c r="A19" s="177"/>
      <c r="B19" s="171"/>
      <c r="C19" s="171"/>
      <c r="D19" s="185" t="s">
        <v>127</v>
      </c>
      <c r="E19" s="181">
        <v>44089</v>
      </c>
      <c r="F19" s="178">
        <v>8.2500000000000004E-2</v>
      </c>
      <c r="G19" s="178">
        <v>8.7499999999999994E-2</v>
      </c>
      <c r="H19" s="178">
        <v>9.5000000000000001E-2</v>
      </c>
      <c r="I19" s="179">
        <v>8.8534500000000002E-2</v>
      </c>
      <c r="J19" s="179">
        <v>8.9687500000000003E-2</v>
      </c>
      <c r="K19" s="186">
        <v>1311000</v>
      </c>
      <c r="L19" s="186">
        <v>805000</v>
      </c>
      <c r="M19" s="180">
        <f>K19/L19</f>
        <v>1.6285714285714286</v>
      </c>
    </row>
    <row r="20" spans="1:13" s="71" customFormat="1" ht="13.5" customHeight="1" x14ac:dyDescent="0.2">
      <c r="A20" s="172"/>
      <c r="B20" s="171"/>
      <c r="C20" s="171"/>
      <c r="D20" s="185" t="s">
        <v>128</v>
      </c>
      <c r="E20" s="181">
        <v>43125</v>
      </c>
      <c r="F20" s="178">
        <v>7.7499999999999999E-2</v>
      </c>
      <c r="G20" s="178">
        <v>8.4375000000000006E-2</v>
      </c>
      <c r="H20" s="178">
        <v>0.09</v>
      </c>
      <c r="I20" s="179">
        <v>8.6632399999999998E-2</v>
      </c>
      <c r="J20" s="179">
        <v>8.7812500000000002E-2</v>
      </c>
      <c r="K20" s="186">
        <v>2731000</v>
      </c>
      <c r="L20" s="186">
        <v>1945000</v>
      </c>
      <c r="M20" s="180">
        <f>K20/L20</f>
        <v>1.4041131105398457</v>
      </c>
    </row>
    <row r="21" spans="1:13" s="71" customFormat="1" ht="13.5" customHeight="1" x14ac:dyDescent="0.2">
      <c r="A21" s="172"/>
      <c r="B21" s="172"/>
      <c r="C21" s="172"/>
      <c r="D21" s="185" t="s">
        <v>129</v>
      </c>
      <c r="E21" s="181">
        <v>45153</v>
      </c>
      <c r="F21" s="178">
        <v>8.7499999999999994E-2</v>
      </c>
      <c r="G21" s="178">
        <v>9.0312500000000004E-2</v>
      </c>
      <c r="H21" s="178">
        <v>9.2499999999999999E-2</v>
      </c>
      <c r="I21" s="179">
        <v>9.0732099999999996E-2</v>
      </c>
      <c r="J21" s="179">
        <v>9.1249999999999998E-2</v>
      </c>
      <c r="K21" s="186">
        <v>360000</v>
      </c>
      <c r="L21" s="186">
        <v>250000</v>
      </c>
      <c r="M21" s="180">
        <f>K21/L21</f>
        <v>1.44</v>
      </c>
    </row>
    <row r="22" spans="1:13" s="71" customFormat="1" ht="13.5" customHeight="1" x14ac:dyDescent="0.2">
      <c r="A22" s="171"/>
      <c r="B22" s="171"/>
      <c r="C22" s="171"/>
      <c r="D22" s="185" t="s">
        <v>130</v>
      </c>
      <c r="E22" s="181">
        <v>47802</v>
      </c>
      <c r="F22" s="178"/>
      <c r="G22" s="178">
        <v>9.0624999999999997E-2</v>
      </c>
      <c r="H22" s="178">
        <v>9.375E-2</v>
      </c>
      <c r="I22" s="178"/>
      <c r="J22" s="179"/>
      <c r="K22" s="168">
        <v>635000</v>
      </c>
      <c r="L22" s="168"/>
      <c r="M22" s="180"/>
    </row>
    <row r="23" spans="1:13" s="71" customFormat="1" ht="13.5" customHeight="1" x14ac:dyDescent="0.2">
      <c r="A23" s="248" t="s">
        <v>133</v>
      </c>
      <c r="B23" s="249"/>
      <c r="C23" s="249"/>
      <c r="D23" s="249"/>
      <c r="E23" s="249"/>
      <c r="F23" s="249"/>
      <c r="G23" s="249"/>
      <c r="H23" s="249"/>
      <c r="I23" s="249"/>
      <c r="J23" s="250"/>
      <c r="K23" s="187">
        <f>SUM(K18:K22)</f>
        <v>7938000</v>
      </c>
      <c r="L23" s="187">
        <f>SUM(L18:L22)</f>
        <v>4000000</v>
      </c>
      <c r="M23" s="188"/>
    </row>
    <row r="24" spans="1:13" s="71" customFormat="1" ht="13.5" customHeight="1" x14ac:dyDescent="0.2">
      <c r="A24" s="177">
        <v>42388</v>
      </c>
      <c r="B24" s="177">
        <v>42390</v>
      </c>
      <c r="C24" s="177" t="s">
        <v>144</v>
      </c>
      <c r="D24" s="176" t="s">
        <v>125</v>
      </c>
      <c r="E24" s="181">
        <v>42461</v>
      </c>
      <c r="F24" s="178" t="s">
        <v>185</v>
      </c>
      <c r="G24" s="178">
        <v>7.0999999999999994E-2</v>
      </c>
      <c r="H24" s="178">
        <v>7.8E-2</v>
      </c>
      <c r="I24" s="179">
        <v>7.2311100000000003E-2</v>
      </c>
      <c r="J24" s="179">
        <v>7.2999999999999995E-2</v>
      </c>
      <c r="K24" s="183">
        <v>6685000</v>
      </c>
      <c r="L24" s="183">
        <v>2250000</v>
      </c>
      <c r="M24" s="180">
        <f>K24/L24</f>
        <v>2.971111111111111</v>
      </c>
    </row>
    <row r="25" spans="1:13" s="71" customFormat="1" ht="13.5" customHeight="1" x14ac:dyDescent="0.2">
      <c r="A25" s="171"/>
      <c r="B25" s="171"/>
      <c r="C25" s="171"/>
      <c r="D25" s="176" t="s">
        <v>123</v>
      </c>
      <c r="E25" s="181">
        <v>46280</v>
      </c>
      <c r="F25" s="178">
        <v>8.3750000000000005E-2</v>
      </c>
      <c r="G25" s="178">
        <v>8.5300000000000001E-2</v>
      </c>
      <c r="H25" s="178">
        <v>8.9499999999999996E-2</v>
      </c>
      <c r="I25" s="179">
        <v>8.6133100000000004E-2</v>
      </c>
      <c r="J25" s="179">
        <v>8.6800000000000002E-2</v>
      </c>
      <c r="K25" s="184">
        <v>13240300</v>
      </c>
      <c r="L25" s="184">
        <v>9000000</v>
      </c>
      <c r="M25" s="180">
        <f>K25/L25</f>
        <v>1.4711444444444444</v>
      </c>
    </row>
    <row r="26" spans="1:13" s="71" customFormat="1" ht="13.5" customHeight="1" x14ac:dyDescent="0.2">
      <c r="A26" s="171"/>
      <c r="B26" s="171"/>
      <c r="C26" s="171"/>
      <c r="D26" s="176" t="s">
        <v>131</v>
      </c>
      <c r="E26" s="181">
        <v>47983</v>
      </c>
      <c r="F26" s="178">
        <v>8.7499999999999994E-2</v>
      </c>
      <c r="G26" s="178">
        <v>8.7499999999999994E-2</v>
      </c>
      <c r="H26" s="178">
        <v>8.9300000000000004E-2</v>
      </c>
      <c r="I26" s="179">
        <v>8.8494600000000007E-2</v>
      </c>
      <c r="J26" s="179">
        <v>8.8800000000000004E-2</v>
      </c>
      <c r="K26" s="183">
        <v>3003000</v>
      </c>
      <c r="L26" s="184">
        <v>1900000</v>
      </c>
      <c r="M26" s="180">
        <f>K26/L26</f>
        <v>1.5805263157894738</v>
      </c>
    </row>
    <row r="27" spans="1:13" s="71" customFormat="1" ht="13.5" customHeight="1" x14ac:dyDescent="0.2">
      <c r="A27" s="172"/>
      <c r="B27" s="172"/>
      <c r="C27" s="172"/>
      <c r="D27" s="176" t="s">
        <v>124</v>
      </c>
      <c r="E27" s="181">
        <v>49810</v>
      </c>
      <c r="F27" s="178">
        <v>8.2500000000000004E-2</v>
      </c>
      <c r="G27" s="178">
        <v>8.7999999999999995E-2</v>
      </c>
      <c r="H27" s="178">
        <v>9.8900000000000002E-2</v>
      </c>
      <c r="I27" s="179">
        <v>8.8793700000000003E-2</v>
      </c>
      <c r="J27" s="179">
        <v>8.9399999999999993E-2</v>
      </c>
      <c r="K27" s="184">
        <v>2076900</v>
      </c>
      <c r="L27" s="184">
        <v>850000</v>
      </c>
      <c r="M27" s="180">
        <f>K27/L27</f>
        <v>2.4434117647058824</v>
      </c>
    </row>
    <row r="28" spans="1:13" s="71" customFormat="1" ht="13.5" customHeight="1" x14ac:dyDescent="0.2">
      <c r="A28" s="248" t="s">
        <v>133</v>
      </c>
      <c r="B28" s="249"/>
      <c r="C28" s="249"/>
      <c r="D28" s="249"/>
      <c r="E28" s="249"/>
      <c r="F28" s="249"/>
      <c r="G28" s="249"/>
      <c r="H28" s="249"/>
      <c r="I28" s="249"/>
      <c r="J28" s="250"/>
      <c r="K28" s="187">
        <f>SUM(K24:K27)</f>
        <v>25005200</v>
      </c>
      <c r="L28" s="187">
        <f>SUM(L24:L27)</f>
        <v>14000000</v>
      </c>
      <c r="M28" s="188"/>
    </row>
    <row r="29" spans="1:13" s="71" customFormat="1" ht="13.5" customHeight="1" x14ac:dyDescent="0.2">
      <c r="A29" s="177">
        <v>42395</v>
      </c>
      <c r="B29" s="177">
        <v>42397</v>
      </c>
      <c r="C29" s="177" t="s">
        <v>144</v>
      </c>
      <c r="D29" s="176" t="s">
        <v>126</v>
      </c>
      <c r="E29" s="181">
        <v>42564</v>
      </c>
      <c r="F29" s="178" t="s">
        <v>185</v>
      </c>
      <c r="G29" s="178">
        <v>6.7500000000000004E-2</v>
      </c>
      <c r="H29" s="178">
        <v>8.0312499999999995E-2</v>
      </c>
      <c r="I29" s="179">
        <v>6.8359400000000001E-2</v>
      </c>
      <c r="J29" s="179">
        <v>6.9687499999999999E-2</v>
      </c>
      <c r="K29" s="183">
        <v>4295000</v>
      </c>
      <c r="L29" s="184">
        <v>1000000</v>
      </c>
      <c r="M29" s="180">
        <f>K29/L29</f>
        <v>4.2949999999999999</v>
      </c>
    </row>
    <row r="30" spans="1:13" s="71" customFormat="1" ht="13.5" customHeight="1" x14ac:dyDescent="0.2">
      <c r="A30" s="177"/>
      <c r="B30" s="171"/>
      <c r="C30" s="171"/>
      <c r="D30" s="185" t="s">
        <v>127</v>
      </c>
      <c r="E30" s="181">
        <v>44089</v>
      </c>
      <c r="F30" s="178">
        <v>8.2500000000000004E-2</v>
      </c>
      <c r="G30" s="178">
        <v>8.4062499999999998E-2</v>
      </c>
      <c r="H30" s="178">
        <v>8.9062500000000003E-2</v>
      </c>
      <c r="I30" s="179">
        <v>8.5399600000000006E-2</v>
      </c>
      <c r="J30" s="179">
        <v>8.59375E-2</v>
      </c>
      <c r="K30" s="186">
        <v>4235000</v>
      </c>
      <c r="L30" s="186">
        <v>1210000</v>
      </c>
      <c r="M30" s="180">
        <f>K30/L30</f>
        <v>3.5</v>
      </c>
    </row>
    <row r="31" spans="1:13" s="71" customFormat="1" ht="13.5" customHeight="1" x14ac:dyDescent="0.2">
      <c r="A31" s="172"/>
      <c r="B31" s="171"/>
      <c r="C31" s="171"/>
      <c r="D31" s="185" t="s">
        <v>128</v>
      </c>
      <c r="E31" s="181">
        <v>43125</v>
      </c>
      <c r="F31" s="178">
        <v>7.7499999999999999E-2</v>
      </c>
      <c r="G31" s="178">
        <v>8.4062499999999998E-2</v>
      </c>
      <c r="H31" s="178">
        <v>9.4066300000000005E-2</v>
      </c>
      <c r="I31" s="179">
        <v>8.4499000000000005E-2</v>
      </c>
      <c r="J31" s="179">
        <v>8.5000000000000006E-2</v>
      </c>
      <c r="K31" s="186">
        <v>2545000</v>
      </c>
      <c r="L31" s="186">
        <v>1010000</v>
      </c>
      <c r="M31" s="180">
        <f>K31/L31</f>
        <v>2.5198019801980198</v>
      </c>
    </row>
    <row r="32" spans="1:13" s="71" customFormat="1" ht="13.5" customHeight="1" x14ac:dyDescent="0.2">
      <c r="A32" s="172"/>
      <c r="B32" s="172"/>
      <c r="C32" s="172"/>
      <c r="D32" s="185" t="s">
        <v>129</v>
      </c>
      <c r="E32" s="181">
        <v>45153</v>
      </c>
      <c r="F32" s="178">
        <v>8.7499999999999994E-2</v>
      </c>
      <c r="G32" s="178">
        <v>8.6249999999999993E-2</v>
      </c>
      <c r="H32" s="178">
        <v>9.6875000000000003E-2</v>
      </c>
      <c r="I32" s="179">
        <v>8.8399000000000005E-2</v>
      </c>
      <c r="J32" s="179">
        <v>8.9062500000000003E-2</v>
      </c>
      <c r="K32" s="186">
        <v>2228000</v>
      </c>
      <c r="L32" s="186">
        <v>615000</v>
      </c>
      <c r="M32" s="180">
        <f>K32/L32</f>
        <v>3.6227642276422762</v>
      </c>
    </row>
    <row r="33" spans="1:13" s="71" customFormat="1" ht="13.5" customHeight="1" x14ac:dyDescent="0.2">
      <c r="A33" s="171"/>
      <c r="B33" s="171"/>
      <c r="C33" s="171"/>
      <c r="D33" s="185" t="s">
        <v>130</v>
      </c>
      <c r="E33" s="181">
        <v>47802</v>
      </c>
      <c r="F33" s="178"/>
      <c r="G33" s="178">
        <v>8.8124999999999995E-2</v>
      </c>
      <c r="H33" s="178">
        <v>9.2812500000000006E-2</v>
      </c>
      <c r="I33" s="178">
        <v>9.03693E-2</v>
      </c>
      <c r="J33" s="179">
        <v>9.1562500000000005E-2</v>
      </c>
      <c r="K33" s="168">
        <v>345000</v>
      </c>
      <c r="L33" s="168">
        <v>220000</v>
      </c>
      <c r="M33" s="180">
        <f>K33/L33</f>
        <v>1.5681818181818181</v>
      </c>
    </row>
    <row r="34" spans="1:13" s="71" customFormat="1" ht="13.5" customHeight="1" x14ac:dyDescent="0.2">
      <c r="A34" s="248" t="s">
        <v>145</v>
      </c>
      <c r="B34" s="249"/>
      <c r="C34" s="249"/>
      <c r="D34" s="249"/>
      <c r="E34" s="249"/>
      <c r="F34" s="249"/>
      <c r="G34" s="249"/>
      <c r="H34" s="249"/>
      <c r="I34" s="249"/>
      <c r="J34" s="250"/>
      <c r="K34" s="187">
        <f>SUM(K29:K33)</f>
        <v>13648000</v>
      </c>
      <c r="L34" s="187">
        <f>SUM(L29:L33)</f>
        <v>4055000</v>
      </c>
      <c r="M34" s="188"/>
    </row>
    <row r="35" spans="1:13" x14ac:dyDescent="0.2">
      <c r="A35" s="251" t="s">
        <v>147</v>
      </c>
      <c r="B35" s="252"/>
      <c r="C35" s="252"/>
      <c r="D35" s="252"/>
      <c r="E35" s="252"/>
      <c r="F35" s="252"/>
      <c r="G35" s="252"/>
      <c r="H35" s="252"/>
      <c r="I35" s="252"/>
      <c r="J35" s="253"/>
      <c r="K35" s="175">
        <f>SUM(K11,K17,K23,K28,K34)</f>
        <v>200004500</v>
      </c>
      <c r="L35" s="175">
        <f>SUM(L11,L17,L23,L28,L34)</f>
        <v>97698000</v>
      </c>
      <c r="M35" s="169"/>
    </row>
    <row r="36" spans="1:13" s="71" customFormat="1" ht="13.5" customHeight="1" x14ac:dyDescent="0.2">
      <c r="A36" s="177">
        <v>42402</v>
      </c>
      <c r="B36" s="177">
        <v>42404</v>
      </c>
      <c r="C36" s="177" t="s">
        <v>144</v>
      </c>
      <c r="D36" s="176" t="s">
        <v>148</v>
      </c>
      <c r="E36" s="181">
        <v>42493</v>
      </c>
      <c r="F36" s="178" t="s">
        <v>185</v>
      </c>
      <c r="G36" s="178">
        <v>5.5E-2</v>
      </c>
      <c r="H36" s="178">
        <v>6.25E-2</v>
      </c>
      <c r="I36" s="179">
        <v>5.5892499999999998E-2</v>
      </c>
      <c r="J36" s="179">
        <v>5.6500000000000002E-2</v>
      </c>
      <c r="K36" s="183">
        <v>3823000</v>
      </c>
      <c r="L36" s="183">
        <v>1000000</v>
      </c>
      <c r="M36" s="180">
        <f>K36/L36</f>
        <v>3.823</v>
      </c>
    </row>
    <row r="37" spans="1:13" s="71" customFormat="1" ht="13.5" customHeight="1" x14ac:dyDescent="0.2">
      <c r="A37" s="172"/>
      <c r="B37" s="172"/>
      <c r="C37" s="172"/>
      <c r="D37" s="176" t="s">
        <v>149</v>
      </c>
      <c r="E37" s="181">
        <v>42769</v>
      </c>
      <c r="F37" s="178" t="s">
        <v>185</v>
      </c>
      <c r="G37" s="178">
        <v>6.5000000000000002E-2</v>
      </c>
      <c r="H37" s="178">
        <v>7.2999999999999995E-2</v>
      </c>
      <c r="I37" s="179">
        <v>6.8159999999999998E-2</v>
      </c>
      <c r="J37" s="179">
        <v>6.9000000000000006E-2</v>
      </c>
      <c r="K37" s="183">
        <v>5176500</v>
      </c>
      <c r="L37" s="183">
        <v>2000000</v>
      </c>
      <c r="M37" s="180">
        <f>K37/L37</f>
        <v>2.5882499999999999</v>
      </c>
    </row>
    <row r="38" spans="1:13" s="71" customFormat="1" ht="13.5" customHeight="1" x14ac:dyDescent="0.2">
      <c r="A38" s="171"/>
      <c r="B38" s="171"/>
      <c r="C38" s="171"/>
      <c r="D38" s="176" t="s">
        <v>121</v>
      </c>
      <c r="E38" s="181">
        <v>44392</v>
      </c>
      <c r="F38" s="178">
        <v>8.2500000000000004E-2</v>
      </c>
      <c r="G38" s="178">
        <v>7.9299999999999995E-2</v>
      </c>
      <c r="H38" s="178">
        <v>8.4000000000000005E-2</v>
      </c>
      <c r="I38" s="179">
        <v>7.9728599999999997E-2</v>
      </c>
      <c r="J38" s="179">
        <v>8.0100000000000005E-2</v>
      </c>
      <c r="K38" s="184">
        <v>8927000</v>
      </c>
      <c r="L38" s="184">
        <v>2950000</v>
      </c>
      <c r="M38" s="180">
        <f>K38/L38</f>
        <v>3.0261016949152544</v>
      </c>
    </row>
    <row r="39" spans="1:13" s="71" customFormat="1" ht="13.5" customHeight="1" x14ac:dyDescent="0.2">
      <c r="A39" s="171"/>
      <c r="B39" s="171"/>
      <c r="C39" s="171"/>
      <c r="D39" s="176" t="s">
        <v>123</v>
      </c>
      <c r="E39" s="181">
        <v>46280</v>
      </c>
      <c r="F39" s="178">
        <v>8.3750000000000005E-2</v>
      </c>
      <c r="G39" s="178">
        <v>8.0199999999999994E-2</v>
      </c>
      <c r="H39" s="178">
        <v>8.4000000000000005E-2</v>
      </c>
      <c r="I39" s="179">
        <v>8.0775899999999998E-2</v>
      </c>
      <c r="J39" s="179">
        <v>8.1100000000000005E-2</v>
      </c>
      <c r="K39" s="183">
        <v>8899000</v>
      </c>
      <c r="L39" s="184">
        <v>3300000</v>
      </c>
      <c r="M39" s="180">
        <f>K39/L39</f>
        <v>2.6966666666666668</v>
      </c>
    </row>
    <row r="40" spans="1:13" s="71" customFormat="1" ht="13.5" customHeight="1" x14ac:dyDescent="0.2">
      <c r="A40" s="172"/>
      <c r="B40" s="172"/>
      <c r="C40" s="172"/>
      <c r="D40" s="176" t="s">
        <v>131</v>
      </c>
      <c r="E40" s="181">
        <v>47983</v>
      </c>
      <c r="F40" s="178">
        <v>8.7499999999999994E-2</v>
      </c>
      <c r="G40" s="178">
        <v>8.3699999999999997E-2</v>
      </c>
      <c r="H40" s="178">
        <v>9.6600000000000005E-2</v>
      </c>
      <c r="I40" s="179">
        <v>8.4198400000000007E-2</v>
      </c>
      <c r="J40" s="179">
        <v>8.4699999999999998E-2</v>
      </c>
      <c r="K40" s="184">
        <v>7814000</v>
      </c>
      <c r="L40" s="184">
        <v>5750000</v>
      </c>
      <c r="M40" s="180">
        <f>K40/L40</f>
        <v>1.3589565217391304</v>
      </c>
    </row>
    <row r="41" spans="1:13" s="71" customFormat="1" ht="13.5" customHeight="1" x14ac:dyDescent="0.2">
      <c r="A41" s="248" t="s">
        <v>133</v>
      </c>
      <c r="B41" s="249"/>
      <c r="C41" s="249"/>
      <c r="D41" s="249"/>
      <c r="E41" s="249"/>
      <c r="F41" s="249"/>
      <c r="G41" s="249"/>
      <c r="H41" s="249"/>
      <c r="I41" s="249"/>
      <c r="J41" s="250"/>
      <c r="K41" s="187">
        <f>SUM(K36:K40)</f>
        <v>34639500</v>
      </c>
      <c r="L41" s="187">
        <f>SUM(L36:L40)</f>
        <v>15000000</v>
      </c>
      <c r="M41" s="188"/>
    </row>
    <row r="42" spans="1:13" s="71" customFormat="1" ht="13.5" customHeight="1" x14ac:dyDescent="0.2">
      <c r="A42" s="212">
        <v>42403</v>
      </c>
      <c r="B42" s="213">
        <v>42405</v>
      </c>
      <c r="C42" s="214" t="s">
        <v>143</v>
      </c>
      <c r="D42" s="215" t="s">
        <v>160</v>
      </c>
      <c r="E42" s="216">
        <v>43570</v>
      </c>
      <c r="F42" s="217">
        <v>7.8750000000000001E-2</v>
      </c>
      <c r="G42" s="217"/>
      <c r="H42" s="217"/>
      <c r="I42" s="217">
        <v>7.9000000000000001E-2</v>
      </c>
      <c r="J42" s="217"/>
      <c r="K42" s="218">
        <v>1700000</v>
      </c>
      <c r="L42" s="218">
        <v>1700000</v>
      </c>
      <c r="M42" s="187"/>
    </row>
    <row r="43" spans="1:13" s="71" customFormat="1" ht="13.5" customHeight="1" x14ac:dyDescent="0.2">
      <c r="A43" s="248" t="s">
        <v>133</v>
      </c>
      <c r="B43" s="249"/>
      <c r="C43" s="249"/>
      <c r="D43" s="249"/>
      <c r="E43" s="249"/>
      <c r="F43" s="249"/>
      <c r="G43" s="249"/>
      <c r="H43" s="249"/>
      <c r="I43" s="249"/>
      <c r="J43" s="250"/>
      <c r="K43" s="187">
        <f>K42</f>
        <v>1700000</v>
      </c>
      <c r="L43" s="187">
        <f>L42</f>
        <v>1700000</v>
      </c>
      <c r="M43" s="188"/>
    </row>
    <row r="44" spans="1:13" s="71" customFormat="1" ht="13.5" customHeight="1" x14ac:dyDescent="0.2">
      <c r="A44" s="177">
        <v>42409</v>
      </c>
      <c r="B44" s="177">
        <v>42411</v>
      </c>
      <c r="C44" s="177" t="s">
        <v>144</v>
      </c>
      <c r="D44" s="176" t="s">
        <v>150</v>
      </c>
      <c r="E44" s="181">
        <v>42592</v>
      </c>
      <c r="F44" s="178" t="s">
        <v>185</v>
      </c>
      <c r="G44" s="178">
        <v>6.25E-2</v>
      </c>
      <c r="H44" s="178">
        <v>7.7499999999999999E-2</v>
      </c>
      <c r="I44" s="179">
        <v>6.2656199999999995E-2</v>
      </c>
      <c r="J44" s="179"/>
      <c r="K44" s="183">
        <v>5291000</v>
      </c>
      <c r="L44" s="184">
        <v>500000</v>
      </c>
      <c r="M44" s="180">
        <f>K44/L44</f>
        <v>10.582000000000001</v>
      </c>
    </row>
    <row r="45" spans="1:13" s="71" customFormat="1" ht="13.5" customHeight="1" x14ac:dyDescent="0.2">
      <c r="A45" s="177"/>
      <c r="B45" s="171"/>
      <c r="C45" s="171"/>
      <c r="D45" s="185" t="s">
        <v>127</v>
      </c>
      <c r="E45" s="181">
        <v>44089</v>
      </c>
      <c r="F45" s="178">
        <v>8.2500000000000004E-2</v>
      </c>
      <c r="G45" s="178">
        <v>8.0625000000000002E-2</v>
      </c>
      <c r="H45" s="178">
        <v>8.59375E-2</v>
      </c>
      <c r="I45" s="179">
        <v>8.2173300000000005E-2</v>
      </c>
      <c r="J45" s="179"/>
      <c r="K45" s="186">
        <v>1970000</v>
      </c>
      <c r="L45" s="186">
        <v>1330000</v>
      </c>
      <c r="M45" s="180">
        <f>K45/L45</f>
        <v>1.481203007518797</v>
      </c>
    </row>
    <row r="46" spans="1:13" s="71" customFormat="1" ht="13.5" customHeight="1" x14ac:dyDescent="0.2">
      <c r="A46" s="172"/>
      <c r="B46" s="171"/>
      <c r="C46" s="171"/>
      <c r="D46" s="185" t="s">
        <v>128</v>
      </c>
      <c r="E46" s="181">
        <v>43125</v>
      </c>
      <c r="F46" s="178">
        <v>7.7499999999999999E-2</v>
      </c>
      <c r="G46" s="178">
        <v>0.08</v>
      </c>
      <c r="H46" s="178">
        <v>8.8437500000000002E-2</v>
      </c>
      <c r="I46" s="179">
        <v>8.1187899999999993E-2</v>
      </c>
      <c r="J46" s="179"/>
      <c r="K46" s="186">
        <v>5213000</v>
      </c>
      <c r="L46" s="186">
        <v>2920000</v>
      </c>
      <c r="M46" s="180">
        <f>K46/L46</f>
        <v>1.7852739726027398</v>
      </c>
    </row>
    <row r="47" spans="1:13" s="71" customFormat="1" ht="13.5" customHeight="1" x14ac:dyDescent="0.2">
      <c r="A47" s="172"/>
      <c r="B47" s="172"/>
      <c r="C47" s="172"/>
      <c r="D47" s="185" t="s">
        <v>129</v>
      </c>
      <c r="E47" s="181">
        <v>45153</v>
      </c>
      <c r="F47" s="178">
        <v>8.7499999999999994E-2</v>
      </c>
      <c r="G47" s="178">
        <v>8.4375000000000006E-2</v>
      </c>
      <c r="H47" s="178">
        <v>8.7499999999999994E-2</v>
      </c>
      <c r="I47" s="179">
        <v>8.4992100000000001E-2</v>
      </c>
      <c r="J47" s="179"/>
      <c r="K47" s="186">
        <v>1442000</v>
      </c>
      <c r="L47" s="186">
        <v>340000</v>
      </c>
      <c r="M47" s="180">
        <f>K47/L47</f>
        <v>4.2411764705882353</v>
      </c>
    </row>
    <row r="48" spans="1:13" s="71" customFormat="1" ht="13.5" customHeight="1" x14ac:dyDescent="0.2">
      <c r="A48" s="171"/>
      <c r="B48" s="171"/>
      <c r="C48" s="171"/>
      <c r="D48" s="185" t="s">
        <v>130</v>
      </c>
      <c r="E48" s="181">
        <v>48167</v>
      </c>
      <c r="F48" s="178">
        <v>8.8749999999999996E-2</v>
      </c>
      <c r="G48" s="178">
        <v>8.6874999999999994E-2</v>
      </c>
      <c r="H48" s="178">
        <v>9.0312500000000004E-2</v>
      </c>
      <c r="I48" s="178">
        <v>8.7399599999999994E-2</v>
      </c>
      <c r="J48" s="179"/>
      <c r="K48" s="168">
        <v>910000</v>
      </c>
      <c r="L48" s="168">
        <v>160000</v>
      </c>
      <c r="M48" s="180">
        <f>K48/L48</f>
        <v>5.6875</v>
      </c>
    </row>
    <row r="49" spans="1:13" s="71" customFormat="1" ht="13.5" customHeight="1" x14ac:dyDescent="0.2">
      <c r="A49" s="248" t="s">
        <v>133</v>
      </c>
      <c r="B49" s="249"/>
      <c r="C49" s="249"/>
      <c r="D49" s="249"/>
      <c r="E49" s="249"/>
      <c r="F49" s="249"/>
      <c r="G49" s="249"/>
      <c r="H49" s="249"/>
      <c r="I49" s="249"/>
      <c r="J49" s="250"/>
      <c r="K49" s="187">
        <f>SUM(K44:K48)</f>
        <v>14826000</v>
      </c>
      <c r="L49" s="187">
        <f>SUM(L44:L48)</f>
        <v>5250000</v>
      </c>
      <c r="M49" s="188"/>
    </row>
    <row r="50" spans="1:13" s="71" customFormat="1" ht="13.5" customHeight="1" x14ac:dyDescent="0.2">
      <c r="A50" s="177">
        <v>42416</v>
      </c>
      <c r="B50" s="177">
        <v>42418</v>
      </c>
      <c r="C50" s="177" t="s">
        <v>144</v>
      </c>
      <c r="D50" s="176" t="s">
        <v>149</v>
      </c>
      <c r="E50" s="181">
        <v>42769</v>
      </c>
      <c r="F50" s="178" t="s">
        <v>185</v>
      </c>
      <c r="G50" s="178">
        <v>6.3E-2</v>
      </c>
      <c r="H50" s="178">
        <v>7.0000000000000007E-2</v>
      </c>
      <c r="I50" s="179">
        <v>6.3789999999999999E-2</v>
      </c>
      <c r="J50" s="179">
        <v>6.4399999999999999E-2</v>
      </c>
      <c r="K50" s="183">
        <v>5905000</v>
      </c>
      <c r="L50" s="183">
        <v>2000000</v>
      </c>
      <c r="M50" s="180">
        <f>K50/L50</f>
        <v>2.9525000000000001</v>
      </c>
    </row>
    <row r="51" spans="1:13" s="71" customFormat="1" ht="13.5" customHeight="1" x14ac:dyDescent="0.2">
      <c r="A51" s="171"/>
      <c r="B51" s="171"/>
      <c r="C51" s="171"/>
      <c r="D51" s="176" t="s">
        <v>123</v>
      </c>
      <c r="E51" s="181">
        <v>46280</v>
      </c>
      <c r="F51" s="178">
        <v>8.3750000000000005E-2</v>
      </c>
      <c r="G51" s="178">
        <v>7.8899999999999998E-2</v>
      </c>
      <c r="H51" s="178">
        <v>8.2500000000000004E-2</v>
      </c>
      <c r="I51" s="179">
        <v>7.9599500000000004E-2</v>
      </c>
      <c r="J51" s="179">
        <v>7.9899999999999999E-2</v>
      </c>
      <c r="K51" s="184">
        <v>7587000</v>
      </c>
      <c r="L51" s="184">
        <v>5250000</v>
      </c>
      <c r="M51" s="180">
        <f>K51/L51</f>
        <v>1.4451428571428571</v>
      </c>
    </row>
    <row r="52" spans="1:13" s="71" customFormat="1" ht="13.5" customHeight="1" x14ac:dyDescent="0.2">
      <c r="A52" s="171"/>
      <c r="B52" s="171"/>
      <c r="C52" s="171"/>
      <c r="D52" s="176" t="s">
        <v>131</v>
      </c>
      <c r="E52" s="181">
        <v>47983</v>
      </c>
      <c r="F52" s="178">
        <v>8.7499999999999994E-2</v>
      </c>
      <c r="G52" s="178">
        <v>8.2199999999999995E-2</v>
      </c>
      <c r="H52" s="178">
        <v>8.7499999999999994E-2</v>
      </c>
      <c r="I52" s="179">
        <v>8.2891699999999999E-2</v>
      </c>
      <c r="J52" s="179">
        <v>8.3099999999999993E-2</v>
      </c>
      <c r="K52" s="183">
        <v>4027500</v>
      </c>
      <c r="L52" s="184">
        <v>2700000</v>
      </c>
      <c r="M52" s="180">
        <f>K52/L52</f>
        <v>1.4916666666666667</v>
      </c>
    </row>
    <row r="53" spans="1:13" s="71" customFormat="1" ht="13.5" customHeight="1" x14ac:dyDescent="0.2">
      <c r="A53" s="172"/>
      <c r="B53" s="172"/>
      <c r="C53" s="172"/>
      <c r="D53" s="176" t="s">
        <v>124</v>
      </c>
      <c r="E53" s="181">
        <v>49810</v>
      </c>
      <c r="F53" s="178">
        <v>8.2500000000000004E-2</v>
      </c>
      <c r="G53" s="178">
        <v>8.2299999999999998E-2</v>
      </c>
      <c r="H53" s="178">
        <v>8.5000000000000006E-2</v>
      </c>
      <c r="I53" s="179">
        <v>8.3296700000000001E-2</v>
      </c>
      <c r="J53" s="179">
        <v>8.3900000000000002E-2</v>
      </c>
      <c r="K53" s="184">
        <v>7129000</v>
      </c>
      <c r="L53" s="184">
        <v>6350000</v>
      </c>
      <c r="M53" s="180">
        <f>K53/L53</f>
        <v>1.1226771653543308</v>
      </c>
    </row>
    <row r="54" spans="1:13" s="71" customFormat="1" ht="13.5" customHeight="1" x14ac:dyDescent="0.2">
      <c r="A54" s="248" t="s">
        <v>133</v>
      </c>
      <c r="B54" s="249"/>
      <c r="C54" s="249"/>
      <c r="D54" s="249"/>
      <c r="E54" s="249"/>
      <c r="F54" s="249"/>
      <c r="G54" s="249"/>
      <c r="H54" s="249"/>
      <c r="I54" s="249"/>
      <c r="J54" s="250"/>
      <c r="K54" s="187">
        <f>SUM(K50:K53)</f>
        <v>24648500</v>
      </c>
      <c r="L54" s="187">
        <f>SUM(L50:L53)</f>
        <v>16300000</v>
      </c>
      <c r="M54" s="188"/>
    </row>
    <row r="55" spans="1:13" s="71" customFormat="1" ht="13.5" customHeight="1" x14ac:dyDescent="0.2">
      <c r="A55" s="206">
        <v>42417</v>
      </c>
      <c r="B55" s="206">
        <v>42419</v>
      </c>
      <c r="C55" s="207" t="s">
        <v>143</v>
      </c>
      <c r="D55" s="208" t="s">
        <v>161</v>
      </c>
      <c r="E55" s="209">
        <v>43490</v>
      </c>
      <c r="F55" s="210">
        <v>8.6249999999999993E-2</v>
      </c>
      <c r="G55" s="210"/>
      <c r="H55" s="210"/>
      <c r="I55" s="210">
        <v>8.0500000000000002E-2</v>
      </c>
      <c r="J55" s="210"/>
      <c r="K55" s="211">
        <v>1500000</v>
      </c>
      <c r="L55" s="211">
        <v>1500000</v>
      </c>
      <c r="M55" s="187"/>
    </row>
    <row r="56" spans="1:13" s="71" customFormat="1" ht="13.5" customHeight="1" x14ac:dyDescent="0.2">
      <c r="A56" s="248" t="s">
        <v>133</v>
      </c>
      <c r="B56" s="249"/>
      <c r="C56" s="249"/>
      <c r="D56" s="249"/>
      <c r="E56" s="249"/>
      <c r="F56" s="249"/>
      <c r="G56" s="249"/>
      <c r="H56" s="249"/>
      <c r="I56" s="249"/>
      <c r="J56" s="250"/>
      <c r="K56" s="187">
        <f>K55</f>
        <v>1500000</v>
      </c>
      <c r="L56" s="187">
        <f>L55</f>
        <v>1500000</v>
      </c>
      <c r="M56" s="188"/>
    </row>
    <row r="57" spans="1:13" s="71" customFormat="1" ht="13.5" customHeight="1" collapsed="1" x14ac:dyDescent="0.2">
      <c r="A57" s="177">
        <v>42423</v>
      </c>
      <c r="B57" s="177">
        <v>42425</v>
      </c>
      <c r="C57" s="177" t="s">
        <v>144</v>
      </c>
      <c r="D57" s="176" t="s">
        <v>150</v>
      </c>
      <c r="E57" s="181">
        <v>42592</v>
      </c>
      <c r="F57" s="178" t="s">
        <v>185</v>
      </c>
      <c r="G57" s="178">
        <v>5.7500000000000002E-2</v>
      </c>
      <c r="H57" s="178">
        <v>6.7500000000000004E-2</v>
      </c>
      <c r="I57" s="179">
        <v>5.8453100000000001E-2</v>
      </c>
      <c r="J57" s="179"/>
      <c r="K57" s="183">
        <v>3658000</v>
      </c>
      <c r="L57" s="184">
        <v>1000000</v>
      </c>
      <c r="M57" s="180">
        <f>K57/L57</f>
        <v>3.6579999999999999</v>
      </c>
    </row>
    <row r="58" spans="1:13" s="71" customFormat="1" ht="13.5" customHeight="1" x14ac:dyDescent="0.2">
      <c r="A58" s="177"/>
      <c r="B58" s="171"/>
      <c r="C58" s="171"/>
      <c r="D58" s="185" t="s">
        <v>127</v>
      </c>
      <c r="E58" s="181">
        <v>44089</v>
      </c>
      <c r="F58" s="178">
        <v>8.2500000000000004E-2</v>
      </c>
      <c r="G58" s="178">
        <v>8.1250000000000003E-2</v>
      </c>
      <c r="H58" s="178">
        <v>8.5000000000000006E-2</v>
      </c>
      <c r="I58" s="179">
        <v>8.2381099999999999E-2</v>
      </c>
      <c r="J58" s="179"/>
      <c r="K58" s="186">
        <v>591000</v>
      </c>
      <c r="L58" s="186">
        <v>360000</v>
      </c>
      <c r="M58" s="180">
        <f>K58/L58</f>
        <v>1.6416666666666666</v>
      </c>
    </row>
    <row r="59" spans="1:13" s="71" customFormat="1" ht="13.5" customHeight="1" x14ac:dyDescent="0.2">
      <c r="A59" s="172"/>
      <c r="B59" s="171"/>
      <c r="C59" s="171"/>
      <c r="D59" s="185" t="s">
        <v>128</v>
      </c>
      <c r="E59" s="181">
        <v>43125</v>
      </c>
      <c r="F59" s="178">
        <v>7.7499999999999999E-2</v>
      </c>
      <c r="G59" s="178">
        <v>7.6562500000000006E-2</v>
      </c>
      <c r="H59" s="178">
        <v>8.5000000000000006E-2</v>
      </c>
      <c r="I59" s="179">
        <v>7.9769199999999998E-2</v>
      </c>
      <c r="J59" s="179"/>
      <c r="K59" s="186">
        <v>4422000</v>
      </c>
      <c r="L59" s="186">
        <v>3520000</v>
      </c>
      <c r="M59" s="180">
        <f>K59/L59</f>
        <v>1.2562500000000001</v>
      </c>
    </row>
    <row r="60" spans="1:13" s="71" customFormat="1" ht="13.5" customHeight="1" x14ac:dyDescent="0.2">
      <c r="A60" s="172"/>
      <c r="B60" s="172"/>
      <c r="C60" s="172"/>
      <c r="D60" s="185" t="s">
        <v>129</v>
      </c>
      <c r="E60" s="181">
        <v>45153</v>
      </c>
      <c r="F60" s="178">
        <v>8.7499999999999994E-2</v>
      </c>
      <c r="G60" s="178">
        <v>8.4062499999999998E-2</v>
      </c>
      <c r="H60" s="178">
        <v>8.6249999999999993E-2</v>
      </c>
      <c r="I60" s="179" t="s">
        <v>132</v>
      </c>
      <c r="J60" s="179"/>
      <c r="K60" s="186">
        <v>305000</v>
      </c>
      <c r="L60" s="186" t="s">
        <v>132</v>
      </c>
      <c r="M60" s="180"/>
    </row>
    <row r="61" spans="1:13" s="71" customFormat="1" ht="13.5" customHeight="1" x14ac:dyDescent="0.2">
      <c r="A61" s="171"/>
      <c r="B61" s="171"/>
      <c r="C61" s="171"/>
      <c r="D61" s="185" t="s">
        <v>130</v>
      </c>
      <c r="E61" s="181">
        <v>48167</v>
      </c>
      <c r="F61" s="178">
        <v>8.8749999999999996E-2</v>
      </c>
      <c r="G61" s="178">
        <v>8.7499999999999994E-2</v>
      </c>
      <c r="H61" s="178">
        <v>9.0312500000000004E-2</v>
      </c>
      <c r="I61" s="178">
        <v>8.77999E-2</v>
      </c>
      <c r="J61" s="179"/>
      <c r="K61" s="168">
        <v>876000</v>
      </c>
      <c r="L61" s="168">
        <v>195000</v>
      </c>
      <c r="M61" s="180">
        <f>K61/L61</f>
        <v>4.4923076923076923</v>
      </c>
    </row>
    <row r="62" spans="1:13" s="71" customFormat="1" ht="13.5" customHeight="1" x14ac:dyDescent="0.2">
      <c r="A62" s="248" t="s">
        <v>133</v>
      </c>
      <c r="B62" s="249"/>
      <c r="C62" s="249"/>
      <c r="D62" s="249"/>
      <c r="E62" s="249"/>
      <c r="F62" s="249"/>
      <c r="G62" s="249"/>
      <c r="H62" s="249"/>
      <c r="I62" s="249"/>
      <c r="J62" s="250"/>
      <c r="K62" s="187">
        <f>SUM(K57:K61)</f>
        <v>9852000</v>
      </c>
      <c r="L62" s="187">
        <f>SUM(L57:L61)</f>
        <v>5075000</v>
      </c>
      <c r="M62" s="188"/>
    </row>
    <row r="63" spans="1:13" x14ac:dyDescent="0.2">
      <c r="A63" s="251" t="s">
        <v>151</v>
      </c>
      <c r="B63" s="252"/>
      <c r="C63" s="252"/>
      <c r="D63" s="252"/>
      <c r="E63" s="252"/>
      <c r="F63" s="252"/>
      <c r="G63" s="252"/>
      <c r="H63" s="252"/>
      <c r="I63" s="252"/>
      <c r="J63" s="253"/>
      <c r="K63" s="175">
        <f>SUM(K35,K41,K43, K49,K54, K56, K62)</f>
        <v>287170500</v>
      </c>
      <c r="L63" s="175">
        <f>SUM(L35,L41,L43, L49,L54, L56, L62)</f>
        <v>142523000</v>
      </c>
      <c r="M63" s="169"/>
    </row>
    <row r="64" spans="1:13" s="71" customFormat="1" ht="13.5" customHeight="1" x14ac:dyDescent="0.2">
      <c r="A64" s="177">
        <v>42430</v>
      </c>
      <c r="B64" s="177">
        <v>42432</v>
      </c>
      <c r="C64" s="177" t="s">
        <v>144</v>
      </c>
      <c r="D64" s="176" t="s">
        <v>162</v>
      </c>
      <c r="E64" s="181">
        <v>42523</v>
      </c>
      <c r="F64" s="178" t="s">
        <v>185</v>
      </c>
      <c r="G64" s="178">
        <v>5.45E-2</v>
      </c>
      <c r="H64" s="178">
        <v>6.3500000000000001E-2</v>
      </c>
      <c r="I64" s="179">
        <v>5.5463999999999999E-2</v>
      </c>
      <c r="J64" s="179">
        <v>5.6500000000000002E-2</v>
      </c>
      <c r="K64" s="183">
        <v>2325000</v>
      </c>
      <c r="L64" s="183">
        <v>2000000</v>
      </c>
      <c r="M64" s="180">
        <f>K64/L64</f>
        <v>1.1625000000000001</v>
      </c>
    </row>
    <row r="65" spans="1:13" s="71" customFormat="1" ht="13.5" customHeight="1" x14ac:dyDescent="0.2">
      <c r="A65" s="172"/>
      <c r="B65" s="172"/>
      <c r="C65" s="172"/>
      <c r="D65" s="176" t="s">
        <v>163</v>
      </c>
      <c r="E65" s="181">
        <v>42796</v>
      </c>
      <c r="F65" s="178" t="s">
        <v>185</v>
      </c>
      <c r="G65" s="178">
        <v>0.06</v>
      </c>
      <c r="H65" s="178">
        <v>7.0000000000000007E-2</v>
      </c>
      <c r="I65" s="179">
        <v>6.3180399999999998E-2</v>
      </c>
      <c r="J65" s="179">
        <v>6.4500000000000002E-2</v>
      </c>
      <c r="K65" s="183">
        <v>2818000</v>
      </c>
      <c r="L65" s="183">
        <v>2000000</v>
      </c>
      <c r="M65" s="180">
        <f>K65/L65</f>
        <v>1.409</v>
      </c>
    </row>
    <row r="66" spans="1:13" s="71" customFormat="1" ht="13.5" customHeight="1" x14ac:dyDescent="0.2">
      <c r="A66" s="171"/>
      <c r="B66" s="171"/>
      <c r="C66" s="171"/>
      <c r="D66" s="176" t="s">
        <v>121</v>
      </c>
      <c r="E66" s="181">
        <v>44392</v>
      </c>
      <c r="F66" s="178">
        <v>8.2500000000000004E-2</v>
      </c>
      <c r="G66" s="178">
        <v>7.8E-2</v>
      </c>
      <c r="H66" s="178">
        <v>8.3799999999999999E-2</v>
      </c>
      <c r="I66" s="179">
        <v>7.9493499999999995E-2</v>
      </c>
      <c r="J66" s="179">
        <v>7.9699999999999993E-2</v>
      </c>
      <c r="K66" s="184">
        <v>5430000</v>
      </c>
      <c r="L66" s="184">
        <v>1650000</v>
      </c>
      <c r="M66" s="180">
        <f>K66/L66</f>
        <v>3.290909090909091</v>
      </c>
    </row>
    <row r="67" spans="1:13" s="71" customFormat="1" ht="13.5" customHeight="1" x14ac:dyDescent="0.2">
      <c r="A67" s="171"/>
      <c r="B67" s="171"/>
      <c r="C67" s="171"/>
      <c r="D67" s="176" t="s">
        <v>123</v>
      </c>
      <c r="E67" s="181">
        <v>46280</v>
      </c>
      <c r="F67" s="178">
        <v>8.3750000000000005E-2</v>
      </c>
      <c r="G67" s="178">
        <v>8.2400000000000001E-2</v>
      </c>
      <c r="H67" s="178">
        <v>8.5000000000000006E-2</v>
      </c>
      <c r="I67" s="179">
        <v>8.2897999999999999E-2</v>
      </c>
      <c r="J67" s="179">
        <v>8.3299999999999999E-2</v>
      </c>
      <c r="K67" s="183">
        <v>11928000</v>
      </c>
      <c r="L67" s="184">
        <v>8050000</v>
      </c>
      <c r="M67" s="180">
        <f>K67/L67</f>
        <v>1.4817391304347827</v>
      </c>
    </row>
    <row r="68" spans="1:13" s="71" customFormat="1" ht="13.5" customHeight="1" x14ac:dyDescent="0.2">
      <c r="A68" s="172"/>
      <c r="B68" s="172"/>
      <c r="C68" s="172"/>
      <c r="D68" s="176" t="s">
        <v>124</v>
      </c>
      <c r="E68" s="181">
        <v>49810</v>
      </c>
      <c r="F68" s="178">
        <v>8.2500000000000004E-2</v>
      </c>
      <c r="G68" s="178">
        <v>8.5999999999999993E-2</v>
      </c>
      <c r="H68" s="178">
        <v>8.9899999999999994E-2</v>
      </c>
      <c r="I68" s="179">
        <v>8.6588700000000005E-2</v>
      </c>
      <c r="J68" s="179">
        <v>8.6800000000000002E-2</v>
      </c>
      <c r="K68" s="184">
        <v>4076600</v>
      </c>
      <c r="L68" s="184">
        <v>1900000</v>
      </c>
      <c r="M68" s="180">
        <f>K68/L68</f>
        <v>2.145578947368421</v>
      </c>
    </row>
    <row r="69" spans="1:13" s="71" customFormat="1" ht="13.5" customHeight="1" x14ac:dyDescent="0.2">
      <c r="A69" s="248" t="s">
        <v>133</v>
      </c>
      <c r="B69" s="249"/>
      <c r="C69" s="249"/>
      <c r="D69" s="249"/>
      <c r="E69" s="249"/>
      <c r="F69" s="249"/>
      <c r="G69" s="249"/>
      <c r="H69" s="249"/>
      <c r="I69" s="249"/>
      <c r="J69" s="250"/>
      <c r="K69" s="187">
        <f>SUM(K64:K68)</f>
        <v>26577600</v>
      </c>
      <c r="L69" s="187">
        <f>SUM(L64:L68)</f>
        <v>15600000</v>
      </c>
      <c r="M69" s="188"/>
    </row>
    <row r="70" spans="1:13" s="71" customFormat="1" ht="13.5" customHeight="1" x14ac:dyDescent="0.2">
      <c r="A70" s="177">
        <v>42437</v>
      </c>
      <c r="B70" s="177">
        <v>42440</v>
      </c>
      <c r="C70" s="177" t="s">
        <v>144</v>
      </c>
      <c r="D70" s="176" t="s">
        <v>164</v>
      </c>
      <c r="E70" s="181">
        <v>42622</v>
      </c>
      <c r="F70" s="178" t="s">
        <v>185</v>
      </c>
      <c r="G70" s="178">
        <v>5.7187500000000002E-2</v>
      </c>
      <c r="H70" s="178">
        <v>6.5000000000000002E-2</v>
      </c>
      <c r="I70" s="179">
        <v>5.7928599999999997E-2</v>
      </c>
      <c r="J70" s="179"/>
      <c r="K70" s="183">
        <v>2325000</v>
      </c>
      <c r="L70" s="184">
        <v>1000000</v>
      </c>
      <c r="M70" s="180">
        <f>K70/L70</f>
        <v>2.3250000000000002</v>
      </c>
    </row>
    <row r="71" spans="1:13" s="71" customFormat="1" ht="13.5" customHeight="1" x14ac:dyDescent="0.2">
      <c r="A71" s="177"/>
      <c r="B71" s="171"/>
      <c r="C71" s="171"/>
      <c r="D71" s="185" t="s">
        <v>127</v>
      </c>
      <c r="E71" s="181">
        <v>44089</v>
      </c>
      <c r="F71" s="178">
        <v>8.2500000000000004E-2</v>
      </c>
      <c r="G71" s="178">
        <v>7.9062499999999994E-2</v>
      </c>
      <c r="H71" s="178">
        <v>8.5000000000000006E-2</v>
      </c>
      <c r="I71" s="179">
        <v>8.0343999999999999E-2</v>
      </c>
      <c r="J71" s="179"/>
      <c r="K71" s="186">
        <v>1859500</v>
      </c>
      <c r="L71" s="186">
        <v>1665000</v>
      </c>
      <c r="M71" s="180">
        <f>K71/L71</f>
        <v>1.1168168168168169</v>
      </c>
    </row>
    <row r="72" spans="1:13" s="71" customFormat="1" ht="13.5" customHeight="1" x14ac:dyDescent="0.2">
      <c r="A72" s="172"/>
      <c r="B72" s="171"/>
      <c r="C72" s="171"/>
      <c r="D72" s="185" t="s">
        <v>128</v>
      </c>
      <c r="E72" s="181">
        <v>43125</v>
      </c>
      <c r="F72" s="178">
        <v>7.7499999999999999E-2</v>
      </c>
      <c r="G72" s="178">
        <v>7.5624999999999998E-2</v>
      </c>
      <c r="H72" s="178">
        <v>8.7499999999999994E-2</v>
      </c>
      <c r="I72" s="179">
        <v>7.8200000000000006E-2</v>
      </c>
      <c r="J72" s="179"/>
      <c r="K72" s="186">
        <v>4339000</v>
      </c>
      <c r="L72" s="186">
        <v>1960000</v>
      </c>
      <c r="M72" s="180">
        <f>K72/L72</f>
        <v>2.2137755102040817</v>
      </c>
    </row>
    <row r="73" spans="1:13" s="71" customFormat="1" ht="13.5" customHeight="1" x14ac:dyDescent="0.2">
      <c r="A73" s="172"/>
      <c r="B73" s="172"/>
      <c r="C73" s="172"/>
      <c r="D73" s="185" t="s">
        <v>129</v>
      </c>
      <c r="E73" s="181">
        <v>45153</v>
      </c>
      <c r="F73" s="178">
        <v>8.7499999999999994E-2</v>
      </c>
      <c r="G73" s="178">
        <v>8.2187499999999997E-2</v>
      </c>
      <c r="H73" s="178">
        <v>8.6874999999999994E-2</v>
      </c>
      <c r="I73" s="179">
        <v>8.3262100000000006E-2</v>
      </c>
      <c r="J73" s="179"/>
      <c r="K73" s="186">
        <v>1350000</v>
      </c>
      <c r="L73" s="186">
        <v>1040000</v>
      </c>
      <c r="M73" s="180">
        <f>K73/L73</f>
        <v>1.2980769230769231</v>
      </c>
    </row>
    <row r="74" spans="1:13" s="71" customFormat="1" ht="13.5" customHeight="1" x14ac:dyDescent="0.2">
      <c r="A74" s="171"/>
      <c r="B74" s="171"/>
      <c r="C74" s="171"/>
      <c r="D74" s="185" t="s">
        <v>130</v>
      </c>
      <c r="E74" s="181">
        <v>48167</v>
      </c>
      <c r="F74" s="178">
        <v>8.8749999999999996E-2</v>
      </c>
      <c r="G74" s="178">
        <v>8.4687499999999999E-2</v>
      </c>
      <c r="H74" s="178">
        <v>8.8749999999999996E-2</v>
      </c>
      <c r="I74" s="178">
        <v>8.5712899999999995E-2</v>
      </c>
      <c r="J74" s="179"/>
      <c r="K74" s="168">
        <v>1458000</v>
      </c>
      <c r="L74" s="168">
        <v>1285000</v>
      </c>
      <c r="M74" s="180">
        <f>K74/L74</f>
        <v>1.1346303501945525</v>
      </c>
    </row>
    <row r="75" spans="1:13" s="71" customFormat="1" ht="13.5" customHeight="1" x14ac:dyDescent="0.2">
      <c r="A75" s="248" t="s">
        <v>133</v>
      </c>
      <c r="B75" s="249"/>
      <c r="C75" s="249"/>
      <c r="D75" s="249"/>
      <c r="E75" s="249"/>
      <c r="F75" s="249"/>
      <c r="G75" s="249"/>
      <c r="H75" s="249"/>
      <c r="I75" s="249"/>
      <c r="J75" s="250"/>
      <c r="K75" s="187">
        <f>SUM(K70:K74)</f>
        <v>11331500</v>
      </c>
      <c r="L75" s="187">
        <f>SUM(L70:L74)</f>
        <v>6950000</v>
      </c>
      <c r="M75" s="188"/>
    </row>
    <row r="76" spans="1:13" s="71" customFormat="1" ht="13.5" customHeight="1" x14ac:dyDescent="0.2">
      <c r="A76" s="206">
        <v>42436</v>
      </c>
      <c r="B76" s="206">
        <v>42439</v>
      </c>
      <c r="C76" s="207" t="s">
        <v>142</v>
      </c>
      <c r="D76" s="208" t="s">
        <v>165</v>
      </c>
      <c r="E76" s="209">
        <v>43534</v>
      </c>
      <c r="F76" s="210">
        <v>8.3000000000000004E-2</v>
      </c>
      <c r="G76" s="210"/>
      <c r="H76" s="210"/>
      <c r="I76" s="210"/>
      <c r="J76" s="210"/>
      <c r="K76" s="211">
        <v>31500000</v>
      </c>
      <c r="L76" s="211">
        <v>31500000</v>
      </c>
      <c r="M76" s="180">
        <f>K76/L76</f>
        <v>1</v>
      </c>
    </row>
    <row r="77" spans="1:13" s="71" customFormat="1" ht="13.5" customHeight="1" x14ac:dyDescent="0.2">
      <c r="A77" s="248" t="s">
        <v>133</v>
      </c>
      <c r="B77" s="249"/>
      <c r="C77" s="249"/>
      <c r="D77" s="249"/>
      <c r="E77" s="249"/>
      <c r="F77" s="249"/>
      <c r="G77" s="249"/>
      <c r="H77" s="249"/>
      <c r="I77" s="249"/>
      <c r="J77" s="250"/>
      <c r="K77" s="187">
        <f>K76</f>
        <v>31500000</v>
      </c>
      <c r="L77" s="187">
        <f>L76</f>
        <v>31500000</v>
      </c>
      <c r="M77" s="188"/>
    </row>
    <row r="78" spans="1:13" s="71" customFormat="1" ht="13.5" customHeight="1" x14ac:dyDescent="0.2">
      <c r="A78" s="206">
        <v>42437</v>
      </c>
      <c r="B78" s="206">
        <v>42440</v>
      </c>
      <c r="C78" s="207" t="s">
        <v>143</v>
      </c>
      <c r="D78" s="208" t="s">
        <v>166</v>
      </c>
      <c r="E78" s="209">
        <v>42531</v>
      </c>
      <c r="F78" s="210"/>
      <c r="G78" s="210"/>
      <c r="H78" s="210"/>
      <c r="I78" s="210">
        <v>5.45E-2</v>
      </c>
      <c r="J78" s="210"/>
      <c r="K78" s="211">
        <v>1054132</v>
      </c>
      <c r="L78" s="211">
        <v>1054132</v>
      </c>
      <c r="M78" s="180">
        <f>K78/L78</f>
        <v>1</v>
      </c>
    </row>
    <row r="79" spans="1:13" s="71" customFormat="1" ht="13.5" customHeight="1" x14ac:dyDescent="0.2">
      <c r="A79" s="248" t="s">
        <v>133</v>
      </c>
      <c r="B79" s="249"/>
      <c r="C79" s="249"/>
      <c r="D79" s="249"/>
      <c r="E79" s="249"/>
      <c r="F79" s="249"/>
      <c r="G79" s="249"/>
      <c r="H79" s="249"/>
      <c r="I79" s="249"/>
      <c r="J79" s="250"/>
      <c r="K79" s="187">
        <f>K78</f>
        <v>1054132</v>
      </c>
      <c r="L79" s="187">
        <f>L78</f>
        <v>1054132</v>
      </c>
      <c r="M79" s="188"/>
    </row>
    <row r="80" spans="1:13" s="71" customFormat="1" ht="13.5" customHeight="1" x14ac:dyDescent="0.2">
      <c r="A80" s="206">
        <v>42437</v>
      </c>
      <c r="B80" s="206">
        <v>42440</v>
      </c>
      <c r="C80" s="207" t="s">
        <v>143</v>
      </c>
      <c r="D80" s="208" t="s">
        <v>161</v>
      </c>
      <c r="E80" s="209">
        <v>43490</v>
      </c>
      <c r="F80" s="210">
        <v>8.6249999999999993E-2</v>
      </c>
      <c r="G80" s="210"/>
      <c r="H80" s="210"/>
      <c r="I80" s="210">
        <v>7.8799999999999995E-2</v>
      </c>
      <c r="J80" s="210"/>
      <c r="K80" s="211">
        <v>1000000</v>
      </c>
      <c r="L80" s="211">
        <v>1000000</v>
      </c>
      <c r="M80" s="180">
        <f>K80/L80</f>
        <v>1</v>
      </c>
    </row>
    <row r="81" spans="1:23" s="71" customFormat="1" ht="13.5" customHeight="1" x14ac:dyDescent="0.2">
      <c r="A81" s="248" t="s">
        <v>133</v>
      </c>
      <c r="B81" s="249"/>
      <c r="C81" s="249"/>
      <c r="D81" s="249"/>
      <c r="E81" s="249"/>
      <c r="F81" s="249"/>
      <c r="G81" s="249"/>
      <c r="H81" s="249"/>
      <c r="I81" s="249"/>
      <c r="J81" s="250"/>
      <c r="K81" s="187">
        <f>K80</f>
        <v>1000000</v>
      </c>
      <c r="L81" s="187">
        <f>L80</f>
        <v>1000000</v>
      </c>
      <c r="M81" s="188"/>
    </row>
    <row r="82" spans="1:23" s="71" customFormat="1" ht="13.5" customHeight="1" collapsed="1" x14ac:dyDescent="0.2">
      <c r="A82" s="177">
        <v>42444</v>
      </c>
      <c r="B82" s="177">
        <v>42446</v>
      </c>
      <c r="C82" s="177" t="s">
        <v>144</v>
      </c>
      <c r="D82" s="176" t="s">
        <v>163</v>
      </c>
      <c r="E82" s="181">
        <v>42796</v>
      </c>
      <c r="F82" s="178" t="s">
        <v>185</v>
      </c>
      <c r="G82" s="178">
        <v>6.0499999999999998E-2</v>
      </c>
      <c r="H82" s="178">
        <v>6.7500000000000004E-2</v>
      </c>
      <c r="I82" s="179">
        <v>6.2623499999999999E-2</v>
      </c>
      <c r="J82" s="179">
        <v>6.4000000000000001E-2</v>
      </c>
      <c r="K82" s="183">
        <v>2140000</v>
      </c>
      <c r="L82" s="184">
        <v>1500000</v>
      </c>
      <c r="M82" s="180">
        <f>K82/L82</f>
        <v>1.4266666666666667</v>
      </c>
    </row>
    <row r="83" spans="1:23" s="71" customFormat="1" ht="13.5" customHeight="1" x14ac:dyDescent="0.2">
      <c r="A83" s="177"/>
      <c r="B83" s="171"/>
      <c r="C83" s="171"/>
      <c r="D83" s="185" t="s">
        <v>121</v>
      </c>
      <c r="E83" s="181">
        <v>44392</v>
      </c>
      <c r="F83" s="178">
        <v>8.2500000000000004E-2</v>
      </c>
      <c r="G83" s="178">
        <v>7.2700000000000001E-2</v>
      </c>
      <c r="H83" s="178">
        <v>7.7499999999999999E-2</v>
      </c>
      <c r="I83" s="179">
        <v>7.3398599999999994E-2</v>
      </c>
      <c r="J83" s="179">
        <v>7.3999999999999996E-2</v>
      </c>
      <c r="K83" s="186">
        <v>7135000</v>
      </c>
      <c r="L83" s="186">
        <v>4900000</v>
      </c>
      <c r="M83" s="180">
        <f>K83/L83</f>
        <v>1.4561224489795919</v>
      </c>
    </row>
    <row r="84" spans="1:23" s="71" customFormat="1" ht="13.5" customHeight="1" x14ac:dyDescent="0.2">
      <c r="A84" s="172"/>
      <c r="B84" s="171"/>
      <c r="C84" s="171"/>
      <c r="D84" s="185" t="s">
        <v>131</v>
      </c>
      <c r="E84" s="181">
        <v>48044</v>
      </c>
      <c r="F84" s="178">
        <v>8.7499999999999994E-2</v>
      </c>
      <c r="G84" s="178">
        <v>8.1699999999999995E-2</v>
      </c>
      <c r="H84" s="178">
        <v>8.7499999999999994E-2</v>
      </c>
      <c r="I84" s="179">
        <v>8.2141900000000004E-2</v>
      </c>
      <c r="J84" s="179">
        <v>8.2400000000000001E-2</v>
      </c>
      <c r="K84" s="186">
        <v>4788000</v>
      </c>
      <c r="L84" s="186">
        <v>2750000</v>
      </c>
      <c r="M84" s="180">
        <f>K84/L84</f>
        <v>1.741090909090909</v>
      </c>
    </row>
    <row r="85" spans="1:23" s="71" customFormat="1" ht="13.5" customHeight="1" x14ac:dyDescent="0.2">
      <c r="A85" s="172"/>
      <c r="B85" s="172"/>
      <c r="C85" s="172"/>
      <c r="D85" s="185" t="s">
        <v>124</v>
      </c>
      <c r="E85" s="181">
        <v>49810</v>
      </c>
      <c r="F85" s="178">
        <v>8.2500000000000004E-2</v>
      </c>
      <c r="G85" s="178">
        <v>8.2000000000000003E-2</v>
      </c>
      <c r="H85" s="178">
        <v>8.5999999999999993E-2</v>
      </c>
      <c r="I85" s="179">
        <v>8.2499500000000003E-2</v>
      </c>
      <c r="J85" s="179">
        <v>8.3000000000000004E-2</v>
      </c>
      <c r="K85" s="186">
        <v>5754500</v>
      </c>
      <c r="L85" s="186">
        <v>4900000</v>
      </c>
      <c r="M85" s="180">
        <f>K85/L85</f>
        <v>1.1743877551020407</v>
      </c>
    </row>
    <row r="86" spans="1:23" s="71" customFormat="1" ht="13.5" customHeight="1" x14ac:dyDescent="0.2">
      <c r="A86" s="171"/>
      <c r="B86" s="171"/>
      <c r="C86" s="171"/>
      <c r="D86" s="185" t="s">
        <v>167</v>
      </c>
      <c r="E86" s="181">
        <v>52642</v>
      </c>
      <c r="F86" s="178">
        <v>8.7499999999999994E-2</v>
      </c>
      <c r="G86" s="178">
        <v>8.5500000000000007E-2</v>
      </c>
      <c r="H86" s="178">
        <v>8.7999999999999995E-2</v>
      </c>
      <c r="I86" s="178">
        <v>8.6348099999999997E-2</v>
      </c>
      <c r="J86" s="179">
        <v>8.6999999999999994E-2</v>
      </c>
      <c r="K86" s="168">
        <v>2257800</v>
      </c>
      <c r="L86" s="168">
        <v>2150000</v>
      </c>
      <c r="M86" s="180">
        <f>K86/L86</f>
        <v>1.050139534883721</v>
      </c>
    </row>
    <row r="87" spans="1:23" s="71" customFormat="1" ht="13.5" customHeight="1" x14ac:dyDescent="0.2">
      <c r="A87" s="248" t="s">
        <v>133</v>
      </c>
      <c r="B87" s="249"/>
      <c r="C87" s="249"/>
      <c r="D87" s="249"/>
      <c r="E87" s="249"/>
      <c r="F87" s="249"/>
      <c r="G87" s="249"/>
      <c r="H87" s="249"/>
      <c r="I87" s="249"/>
      <c r="J87" s="250"/>
      <c r="K87" s="187">
        <f>SUM(K82:K86)</f>
        <v>22075300</v>
      </c>
      <c r="L87" s="187">
        <f>SUM(L82:L86)</f>
        <v>16200000</v>
      </c>
      <c r="M87" s="188"/>
    </row>
    <row r="88" spans="1:23" s="71" customFormat="1" x14ac:dyDescent="0.2">
      <c r="A88" s="177">
        <v>42450</v>
      </c>
      <c r="B88" s="177">
        <v>42458</v>
      </c>
      <c r="C88" s="202" t="s">
        <v>142</v>
      </c>
      <c r="D88" s="176" t="s">
        <v>169</v>
      </c>
      <c r="E88" s="177">
        <v>44284</v>
      </c>
      <c r="F88" s="178">
        <v>3.4000000000000002E-2</v>
      </c>
      <c r="G88" s="195"/>
      <c r="H88" s="195"/>
      <c r="I88" s="178">
        <v>3.4000000000000002E-2</v>
      </c>
      <c r="J88" s="197"/>
      <c r="K88" s="198" t="s">
        <v>171</v>
      </c>
      <c r="L88" s="198" t="s">
        <v>174</v>
      </c>
      <c r="M88" s="180">
        <f>2627.55/750</f>
        <v>3.5034000000000001</v>
      </c>
      <c r="N88" s="189"/>
      <c r="O88" s="71" t="s">
        <v>172</v>
      </c>
      <c r="P88" s="71">
        <v>13160</v>
      </c>
    </row>
    <row r="89" spans="1:23" s="71" customFormat="1" ht="13.5" customHeight="1" x14ac:dyDescent="0.2">
      <c r="A89" s="199"/>
      <c r="B89" s="199"/>
      <c r="C89" s="199"/>
      <c r="D89" s="176"/>
      <c r="E89" s="177"/>
      <c r="F89" s="178"/>
      <c r="G89" s="195"/>
      <c r="H89" s="195"/>
      <c r="I89" s="178"/>
      <c r="J89" s="201"/>
      <c r="K89" s="168">
        <f>2627.55*13160</f>
        <v>34578558</v>
      </c>
      <c r="L89" s="168">
        <f>750*13363</f>
        <v>10022250</v>
      </c>
      <c r="M89" s="180"/>
      <c r="N89" s="190"/>
      <c r="O89" s="158"/>
    </row>
    <row r="90" spans="1:23" s="71" customFormat="1" ht="13.5" customHeight="1" x14ac:dyDescent="0.2">
      <c r="A90" s="171"/>
      <c r="B90" s="171"/>
      <c r="C90" s="171"/>
      <c r="D90" s="176" t="s">
        <v>170</v>
      </c>
      <c r="E90" s="177">
        <v>46110</v>
      </c>
      <c r="F90" s="178">
        <v>4.5499999999999999E-2</v>
      </c>
      <c r="G90" s="178"/>
      <c r="H90" s="178"/>
      <c r="I90" s="178">
        <v>4.5499999999999999E-2</v>
      </c>
      <c r="J90" s="179"/>
      <c r="K90" s="168" t="s">
        <v>175</v>
      </c>
      <c r="L90" s="168" t="s">
        <v>176</v>
      </c>
      <c r="M90" s="180">
        <f>5988.55/1750</f>
        <v>3.4220285714285716</v>
      </c>
      <c r="N90" s="191"/>
      <c r="O90" s="71" t="s">
        <v>173</v>
      </c>
      <c r="P90" s="71">
        <v>13363</v>
      </c>
      <c r="Q90" s="192"/>
      <c r="R90" s="193"/>
    </row>
    <row r="91" spans="1:23" s="71" customFormat="1" ht="13.5" customHeight="1" x14ac:dyDescent="0.2">
      <c r="A91" s="171"/>
      <c r="B91" s="171"/>
      <c r="C91" s="171"/>
      <c r="D91" s="176"/>
      <c r="E91" s="181"/>
      <c r="F91" s="178"/>
      <c r="G91" s="178"/>
      <c r="H91" s="178"/>
      <c r="I91" s="179"/>
      <c r="J91" s="179"/>
      <c r="K91" s="183">
        <f>2600*13160</f>
        <v>34216000</v>
      </c>
      <c r="L91" s="183">
        <f>1750*13363</f>
        <v>23385250</v>
      </c>
      <c r="M91" s="180"/>
      <c r="N91" s="191"/>
      <c r="O91" s="71">
        <f>2627550+5988550</f>
        <v>8616100</v>
      </c>
      <c r="P91" s="158"/>
      <c r="Q91" s="158"/>
      <c r="W91" s="193"/>
    </row>
    <row r="92" spans="1:23" s="71" customFormat="1" x14ac:dyDescent="0.2">
      <c r="A92" s="248" t="s">
        <v>133</v>
      </c>
      <c r="B92" s="249"/>
      <c r="C92" s="249"/>
      <c r="D92" s="249"/>
      <c r="E92" s="249"/>
      <c r="F92" s="249"/>
      <c r="G92" s="249"/>
      <c r="H92" s="249"/>
      <c r="I92" s="249"/>
      <c r="J92" s="250"/>
      <c r="K92" s="187">
        <f>+K89+K91</f>
        <v>68794558</v>
      </c>
      <c r="L92" s="187">
        <f>+L89+L91</f>
        <v>33407500</v>
      </c>
      <c r="M92" s="188"/>
      <c r="N92" s="191"/>
      <c r="O92" s="71">
        <v>2500000</v>
      </c>
      <c r="P92" s="158"/>
      <c r="Q92" s="158"/>
      <c r="W92" s="193"/>
    </row>
    <row r="93" spans="1:23" s="71" customFormat="1" ht="13.5" customHeight="1" x14ac:dyDescent="0.2">
      <c r="A93" s="177">
        <v>42451</v>
      </c>
      <c r="B93" s="177">
        <v>42453</v>
      </c>
      <c r="C93" s="177" t="s">
        <v>144</v>
      </c>
      <c r="D93" s="176" t="s">
        <v>164</v>
      </c>
      <c r="E93" s="181">
        <v>42622</v>
      </c>
      <c r="F93" s="178" t="s">
        <v>185</v>
      </c>
      <c r="G93" s="178">
        <v>5.6250000000000001E-2</v>
      </c>
      <c r="H93" s="178">
        <v>6.3750000000000001E-2</v>
      </c>
      <c r="I93" s="179">
        <v>5.7569200000000001E-2</v>
      </c>
      <c r="J93" s="179"/>
      <c r="K93" s="183">
        <v>2571000</v>
      </c>
      <c r="L93" s="184">
        <v>1000000</v>
      </c>
      <c r="M93" s="180">
        <f>K93/L93</f>
        <v>2.5710000000000002</v>
      </c>
      <c r="O93" s="71">
        <f>+O91/O92</f>
        <v>3.4464399999999999</v>
      </c>
    </row>
    <row r="94" spans="1:23" s="71" customFormat="1" ht="13.5" customHeight="1" x14ac:dyDescent="0.2">
      <c r="A94" s="177"/>
      <c r="B94" s="171"/>
      <c r="C94" s="171"/>
      <c r="D94" s="185" t="s">
        <v>127</v>
      </c>
      <c r="E94" s="181">
        <v>44089</v>
      </c>
      <c r="F94" s="178">
        <v>8.2500000000000004E-2</v>
      </c>
      <c r="G94" s="178">
        <v>7.7187500000000006E-2</v>
      </c>
      <c r="H94" s="178">
        <v>8.0625000000000002E-2</v>
      </c>
      <c r="I94" s="179">
        <v>7.8494599999999998E-2</v>
      </c>
      <c r="J94" s="179"/>
      <c r="K94" s="186">
        <v>663000</v>
      </c>
      <c r="L94" s="186">
        <v>385000</v>
      </c>
      <c r="M94" s="180">
        <f>K94/L94</f>
        <v>1.7220779220779221</v>
      </c>
    </row>
    <row r="95" spans="1:23" s="71" customFormat="1" ht="13.5" customHeight="1" x14ac:dyDescent="0.2">
      <c r="A95" s="172"/>
      <c r="B95" s="171"/>
      <c r="C95" s="171"/>
      <c r="D95" s="185" t="s">
        <v>128</v>
      </c>
      <c r="E95" s="181">
        <v>43125</v>
      </c>
      <c r="F95" s="178">
        <v>7.7499999999999999E-2</v>
      </c>
      <c r="G95" s="178">
        <v>7.5624999999999998E-2</v>
      </c>
      <c r="H95" s="178">
        <v>0.08</v>
      </c>
      <c r="I95" s="179">
        <v>7.5699600000000006E-2</v>
      </c>
      <c r="J95" s="179"/>
      <c r="K95" s="186">
        <v>2684000</v>
      </c>
      <c r="L95" s="186">
        <v>1130000</v>
      </c>
      <c r="M95" s="180">
        <f>K95/L95</f>
        <v>2.3752212389380531</v>
      </c>
    </row>
    <row r="96" spans="1:23" s="71" customFormat="1" ht="13.5" customHeight="1" x14ac:dyDescent="0.2">
      <c r="A96" s="172"/>
      <c r="B96" s="172"/>
      <c r="C96" s="172"/>
      <c r="D96" s="185" t="s">
        <v>129</v>
      </c>
      <c r="E96" s="181">
        <v>45153</v>
      </c>
      <c r="F96" s="178">
        <v>8.7499999999999994E-2</v>
      </c>
      <c r="G96" s="178">
        <v>8.1250000000000003E-2</v>
      </c>
      <c r="H96" s="178">
        <v>8.7499999999999994E-2</v>
      </c>
      <c r="I96" s="179"/>
      <c r="J96" s="179"/>
      <c r="K96" s="186">
        <v>3144000</v>
      </c>
      <c r="L96" s="186">
        <v>0</v>
      </c>
      <c r="M96" s="180"/>
    </row>
    <row r="97" spans="1:13" s="71" customFormat="1" ht="13.5" customHeight="1" x14ac:dyDescent="0.2">
      <c r="A97" s="171"/>
      <c r="B97" s="171"/>
      <c r="C97" s="171"/>
      <c r="D97" s="185" t="s">
        <v>130</v>
      </c>
      <c r="E97" s="181">
        <v>48167</v>
      </c>
      <c r="F97" s="178">
        <v>8.8749999999999996E-2</v>
      </c>
      <c r="G97" s="178">
        <v>8.4375000000000006E-2</v>
      </c>
      <c r="H97" s="178">
        <v>8.8749999999999996E-2</v>
      </c>
      <c r="I97" s="178">
        <v>8.5599099999999997E-2</v>
      </c>
      <c r="J97" s="179"/>
      <c r="K97" s="168">
        <v>1818500</v>
      </c>
      <c r="L97" s="168">
        <v>1665000</v>
      </c>
      <c r="M97" s="180">
        <f>K97/L97</f>
        <v>1.0921921921921922</v>
      </c>
    </row>
    <row r="98" spans="1:13" s="71" customFormat="1" ht="13.5" customHeight="1" x14ac:dyDescent="0.2">
      <c r="A98" s="248" t="s">
        <v>133</v>
      </c>
      <c r="B98" s="249"/>
      <c r="C98" s="249"/>
      <c r="D98" s="249"/>
      <c r="E98" s="249"/>
      <c r="F98" s="249"/>
      <c r="G98" s="249"/>
      <c r="H98" s="249"/>
      <c r="I98" s="249"/>
      <c r="J98" s="250"/>
      <c r="K98" s="187">
        <f>SUM(K93:K97)</f>
        <v>10880500</v>
      </c>
      <c r="L98" s="187">
        <f>SUM(L93:L97)</f>
        <v>4180000</v>
      </c>
      <c r="M98" s="188"/>
    </row>
    <row r="99" spans="1:13" s="71" customFormat="1" ht="13.5" customHeight="1" collapsed="1" x14ac:dyDescent="0.2">
      <c r="A99" s="177">
        <v>42458</v>
      </c>
      <c r="B99" s="177">
        <v>42460</v>
      </c>
      <c r="C99" s="177" t="s">
        <v>144</v>
      </c>
      <c r="D99" s="176" t="s">
        <v>163</v>
      </c>
      <c r="E99" s="181">
        <v>42796</v>
      </c>
      <c r="F99" s="178" t="s">
        <v>185</v>
      </c>
      <c r="G99" s="178">
        <v>5.9499999999999997E-2</v>
      </c>
      <c r="H99" s="178">
        <v>6.7500000000000004E-2</v>
      </c>
      <c r="I99" s="179">
        <v>6.3921099999999995E-2</v>
      </c>
      <c r="J99" s="179">
        <v>6.6699999999999995E-2</v>
      </c>
      <c r="K99" s="183">
        <v>2030000</v>
      </c>
      <c r="L99" s="184">
        <v>1900000</v>
      </c>
      <c r="M99" s="180">
        <f>K99/L99</f>
        <v>1.0684210526315789</v>
      </c>
    </row>
    <row r="100" spans="1:13" s="71" customFormat="1" ht="13.5" customHeight="1" x14ac:dyDescent="0.2">
      <c r="A100" s="177"/>
      <c r="B100" s="171"/>
      <c r="C100" s="171"/>
      <c r="D100" s="185" t="s">
        <v>123</v>
      </c>
      <c r="E100" s="181">
        <v>46280</v>
      </c>
      <c r="F100" s="178">
        <v>8.3750000000000005E-2</v>
      </c>
      <c r="G100" s="178">
        <v>7.8E-2</v>
      </c>
      <c r="H100" s="178">
        <v>8.0199999999999994E-2</v>
      </c>
      <c r="I100" s="179">
        <v>7.8697299999999998E-2</v>
      </c>
      <c r="J100" s="179">
        <v>7.9000000000000001E-2</v>
      </c>
      <c r="K100" s="186">
        <v>3637000</v>
      </c>
      <c r="L100" s="186">
        <v>2700000</v>
      </c>
      <c r="M100" s="180">
        <f>K100/L100</f>
        <v>1.347037037037037</v>
      </c>
    </row>
    <row r="101" spans="1:13" s="71" customFormat="1" ht="13.5" customHeight="1" x14ac:dyDescent="0.2">
      <c r="A101" s="172"/>
      <c r="B101" s="171"/>
      <c r="C101" s="171"/>
      <c r="D101" s="185" t="s">
        <v>131</v>
      </c>
      <c r="E101" s="181">
        <v>48044</v>
      </c>
      <c r="F101" s="178">
        <v>8.7499999999999994E-2</v>
      </c>
      <c r="G101" s="178">
        <v>8.2500000000000004E-2</v>
      </c>
      <c r="H101" s="178">
        <v>8.5000000000000006E-2</v>
      </c>
      <c r="I101" s="179">
        <v>8.3021499999999998E-2</v>
      </c>
      <c r="J101" s="179">
        <v>8.3099999999999993E-2</v>
      </c>
      <c r="K101" s="186">
        <v>5019000</v>
      </c>
      <c r="L101" s="186">
        <v>2300000</v>
      </c>
      <c r="M101" s="180">
        <f>K101/L101</f>
        <v>2.1821739130434783</v>
      </c>
    </row>
    <row r="102" spans="1:13" s="71" customFormat="1" ht="13.5" customHeight="1" x14ac:dyDescent="0.2">
      <c r="A102" s="172"/>
      <c r="B102" s="172"/>
      <c r="C102" s="172"/>
      <c r="D102" s="185" t="s">
        <v>124</v>
      </c>
      <c r="E102" s="181">
        <v>49810</v>
      </c>
      <c r="F102" s="178">
        <v>8.2500000000000004E-2</v>
      </c>
      <c r="G102" s="178">
        <v>8.2400000000000001E-2</v>
      </c>
      <c r="H102" s="178">
        <v>8.5999999999999993E-2</v>
      </c>
      <c r="I102" s="179">
        <v>8.3199400000000007E-2</v>
      </c>
      <c r="J102" s="179">
        <v>8.3400000000000002E-2</v>
      </c>
      <c r="K102" s="186">
        <v>5360800</v>
      </c>
      <c r="L102" s="186">
        <v>3100000</v>
      </c>
      <c r="M102" s="180">
        <f>K102/L102</f>
        <v>1.7292903225806451</v>
      </c>
    </row>
    <row r="103" spans="1:13" s="71" customFormat="1" ht="13.5" customHeight="1" x14ac:dyDescent="0.2">
      <c r="A103" s="248" t="s">
        <v>133</v>
      </c>
      <c r="B103" s="249"/>
      <c r="C103" s="249"/>
      <c r="D103" s="249"/>
      <c r="E103" s="249"/>
      <c r="F103" s="249"/>
      <c r="G103" s="249"/>
      <c r="H103" s="249"/>
      <c r="I103" s="249"/>
      <c r="J103" s="250"/>
      <c r="K103" s="187">
        <f>SUM(K99:K102)</f>
        <v>16046800</v>
      </c>
      <c r="L103" s="187">
        <f>SUM(L99:L102)</f>
        <v>10000000</v>
      </c>
      <c r="M103" s="188"/>
    </row>
    <row r="104" spans="1:13" x14ac:dyDescent="0.2">
      <c r="A104" s="251" t="s">
        <v>168</v>
      </c>
      <c r="B104" s="252"/>
      <c r="C104" s="252"/>
      <c r="D104" s="252"/>
      <c r="E104" s="252"/>
      <c r="F104" s="252"/>
      <c r="G104" s="252"/>
      <c r="H104" s="252"/>
      <c r="I104" s="252"/>
      <c r="J104" s="253"/>
      <c r="K104" s="175">
        <f>SUM(K63, K69, K75, K77, K79, K81, K87,K92, K98, K103)</f>
        <v>476430890</v>
      </c>
      <c r="L104" s="175">
        <f>SUM(L63,L69, L75, L77, L79, L81, L87,L92, L98, L103)</f>
        <v>262414632</v>
      </c>
      <c r="M104" s="169"/>
    </row>
    <row r="105" spans="1:13" x14ac:dyDescent="0.2">
      <c r="A105" s="177">
        <v>42465</v>
      </c>
      <c r="B105" s="177">
        <v>42467</v>
      </c>
      <c r="C105" s="177" t="s">
        <v>144</v>
      </c>
      <c r="D105" s="176" t="s">
        <v>177</v>
      </c>
      <c r="E105" s="181">
        <v>42649</v>
      </c>
      <c r="F105" s="178" t="s">
        <v>185</v>
      </c>
      <c r="G105" s="178">
        <v>5.5625000000000001E-2</v>
      </c>
      <c r="H105" s="178">
        <v>6.25E-2</v>
      </c>
      <c r="I105" s="179">
        <v>5.6250000000000001E-2</v>
      </c>
      <c r="J105" s="179"/>
      <c r="K105" s="183">
        <v>1716000</v>
      </c>
      <c r="L105" s="184">
        <v>500000</v>
      </c>
      <c r="M105" s="180">
        <f>K105/L105</f>
        <v>3.4319999999999999</v>
      </c>
    </row>
    <row r="106" spans="1:13" x14ac:dyDescent="0.2">
      <c r="A106" s="177"/>
      <c r="B106" s="171"/>
      <c r="C106" s="171"/>
      <c r="D106" s="185" t="s">
        <v>127</v>
      </c>
      <c r="E106" s="181">
        <v>44089</v>
      </c>
      <c r="F106" s="178">
        <v>8.2500000000000004E-2</v>
      </c>
      <c r="G106" s="178">
        <v>7.7187500000000006E-2</v>
      </c>
      <c r="H106" s="178">
        <v>8.0625000000000002E-2</v>
      </c>
      <c r="I106" s="179">
        <v>7.7499600000000002E-2</v>
      </c>
      <c r="J106" s="179"/>
      <c r="K106" s="186">
        <v>2182000</v>
      </c>
      <c r="L106" s="186">
        <v>750000</v>
      </c>
      <c r="M106" s="180">
        <f>K106/L106</f>
        <v>2.9093333333333335</v>
      </c>
    </row>
    <row r="107" spans="1:13" x14ac:dyDescent="0.2">
      <c r="A107" s="172"/>
      <c r="B107" s="171"/>
      <c r="C107" s="171"/>
      <c r="D107" s="185" t="s">
        <v>128</v>
      </c>
      <c r="E107" s="181">
        <v>43125</v>
      </c>
      <c r="F107" s="178">
        <v>7.7499999999999999E-2</v>
      </c>
      <c r="G107" s="178">
        <v>7.4374999999999997E-2</v>
      </c>
      <c r="H107" s="178">
        <v>7.9062499999999994E-2</v>
      </c>
      <c r="I107" s="179">
        <v>7.5164900000000007E-2</v>
      </c>
      <c r="J107" s="179"/>
      <c r="K107" s="186">
        <v>4826000</v>
      </c>
      <c r="L107" s="186">
        <v>2260000</v>
      </c>
      <c r="M107" s="180">
        <f>K107/L107</f>
        <v>2.1353982300884957</v>
      </c>
    </row>
    <row r="108" spans="1:13" x14ac:dyDescent="0.2">
      <c r="A108" s="172"/>
      <c r="B108" s="172"/>
      <c r="C108" s="172"/>
      <c r="D108" s="185" t="s">
        <v>129</v>
      </c>
      <c r="E108" s="181">
        <v>45153</v>
      </c>
      <c r="F108" s="178">
        <v>8.7499999999999994E-2</v>
      </c>
      <c r="G108" s="178">
        <v>0.08</v>
      </c>
      <c r="H108" s="178">
        <v>8.3125000000000004E-2</v>
      </c>
      <c r="I108" s="179">
        <v>0.08</v>
      </c>
      <c r="J108" s="179"/>
      <c r="K108" s="186">
        <v>2176000</v>
      </c>
      <c r="L108" s="186">
        <v>610000</v>
      </c>
      <c r="M108" s="180">
        <f>K108/L108</f>
        <v>3.5672131147540984</v>
      </c>
    </row>
    <row r="109" spans="1:13" x14ac:dyDescent="0.2">
      <c r="A109" s="171"/>
      <c r="B109" s="171"/>
      <c r="C109" s="171"/>
      <c r="D109" s="185" t="s">
        <v>130</v>
      </c>
      <c r="E109" s="181">
        <v>48167</v>
      </c>
      <c r="F109" s="178">
        <v>8.8749999999999996E-2</v>
      </c>
      <c r="G109" s="178">
        <v>8.2812499999999997E-2</v>
      </c>
      <c r="H109" s="178">
        <v>8.7499999999999994E-2</v>
      </c>
      <c r="I109" s="178">
        <v>8.3085400000000004E-2</v>
      </c>
      <c r="J109" s="179"/>
      <c r="K109" s="168">
        <v>2351000</v>
      </c>
      <c r="L109" s="168">
        <v>1665000</v>
      </c>
      <c r="M109" s="180">
        <f>K109/L109</f>
        <v>1.4120120120120121</v>
      </c>
    </row>
    <row r="110" spans="1:13" x14ac:dyDescent="0.2">
      <c r="A110" s="248" t="s">
        <v>133</v>
      </c>
      <c r="B110" s="249"/>
      <c r="C110" s="249"/>
      <c r="D110" s="249"/>
      <c r="E110" s="249"/>
      <c r="F110" s="249"/>
      <c r="G110" s="249"/>
      <c r="H110" s="249"/>
      <c r="I110" s="249"/>
      <c r="J110" s="250"/>
      <c r="K110" s="187">
        <f>SUM(K105:K109)</f>
        <v>13251000</v>
      </c>
      <c r="L110" s="187">
        <f>SUM(L105:L109)</f>
        <v>5785000</v>
      </c>
      <c r="M110" s="188"/>
    </row>
    <row r="111" spans="1:13" x14ac:dyDescent="0.2">
      <c r="A111" s="177">
        <v>42468</v>
      </c>
      <c r="B111" s="177">
        <v>42468</v>
      </c>
      <c r="C111" s="219" t="s">
        <v>143</v>
      </c>
      <c r="D111" s="176" t="s">
        <v>218</v>
      </c>
      <c r="E111" s="181">
        <v>42552</v>
      </c>
      <c r="F111" s="178" t="s">
        <v>185</v>
      </c>
      <c r="G111" s="178"/>
      <c r="H111" s="178"/>
      <c r="I111" s="179"/>
      <c r="J111" s="179"/>
      <c r="K111" s="187">
        <v>360814</v>
      </c>
      <c r="L111" s="187">
        <v>360814</v>
      </c>
      <c r="M111" s="180">
        <f>K111/L111</f>
        <v>1</v>
      </c>
    </row>
    <row r="112" spans="1:13" x14ac:dyDescent="0.2">
      <c r="A112" s="254" t="s">
        <v>133</v>
      </c>
      <c r="B112" s="255"/>
      <c r="C112" s="255"/>
      <c r="D112" s="255"/>
      <c r="E112" s="255"/>
      <c r="F112" s="255"/>
      <c r="G112" s="255"/>
      <c r="H112" s="255"/>
      <c r="I112" s="255"/>
      <c r="J112" s="256"/>
      <c r="K112" s="229">
        <f>K111</f>
        <v>360814</v>
      </c>
      <c r="L112" s="229">
        <f>L111</f>
        <v>360814</v>
      </c>
      <c r="M112" s="180"/>
    </row>
    <row r="113" spans="1:13" s="71" customFormat="1" ht="13.5" customHeight="1" collapsed="1" x14ac:dyDescent="0.2">
      <c r="A113" s="230">
        <v>42472</v>
      </c>
      <c r="B113" s="230">
        <v>42474</v>
      </c>
      <c r="C113" s="230" t="s">
        <v>144</v>
      </c>
      <c r="D113" s="232" t="s">
        <v>180</v>
      </c>
      <c r="E113" s="233">
        <v>42564</v>
      </c>
      <c r="F113" s="234" t="s">
        <v>185</v>
      </c>
      <c r="G113" s="234">
        <v>5.3900000000000003E-2</v>
      </c>
      <c r="H113" s="234">
        <v>6.2E-2</v>
      </c>
      <c r="I113" s="235">
        <v>5.4760000000000003E-2</v>
      </c>
      <c r="J113" s="235">
        <v>5.5500000000000001E-2</v>
      </c>
      <c r="K113" s="268">
        <v>4755000</v>
      </c>
      <c r="L113" s="269">
        <v>2000000</v>
      </c>
      <c r="M113" s="270">
        <f>K113/L113</f>
        <v>2.3774999999999999</v>
      </c>
    </row>
    <row r="114" spans="1:13" s="71" customFormat="1" ht="13.5" customHeight="1" x14ac:dyDescent="0.2">
      <c r="A114" s="177"/>
      <c r="B114" s="171"/>
      <c r="C114" s="171"/>
      <c r="D114" s="185" t="s">
        <v>181</v>
      </c>
      <c r="E114" s="181">
        <v>42838</v>
      </c>
      <c r="F114" s="178" t="s">
        <v>185</v>
      </c>
      <c r="G114" s="178">
        <v>6.3E-2</v>
      </c>
      <c r="H114" s="178">
        <v>6.6900000000000001E-2</v>
      </c>
      <c r="I114" s="179">
        <v>6.3549999999999995E-2</v>
      </c>
      <c r="J114" s="179">
        <v>6.4500000000000002E-2</v>
      </c>
      <c r="K114" s="186">
        <v>3040000</v>
      </c>
      <c r="L114" s="186">
        <v>2000000</v>
      </c>
      <c r="M114" s="180">
        <f>K114/L114</f>
        <v>1.52</v>
      </c>
    </row>
    <row r="115" spans="1:13" s="71" customFormat="1" ht="13.5" customHeight="1" x14ac:dyDescent="0.2">
      <c r="A115" s="172"/>
      <c r="B115" s="171"/>
      <c r="C115" s="171"/>
      <c r="D115" s="185" t="s">
        <v>121</v>
      </c>
      <c r="E115" s="181">
        <v>44392</v>
      </c>
      <c r="F115" s="178">
        <v>8.2500000000000004E-2</v>
      </c>
      <c r="G115" s="178">
        <v>7.2800000000000004E-2</v>
      </c>
      <c r="H115" s="178">
        <v>7.4800000000000005E-2</v>
      </c>
      <c r="I115" s="179">
        <v>7.3298699999999994E-2</v>
      </c>
      <c r="J115" s="179">
        <v>7.3499999999999996E-2</v>
      </c>
      <c r="K115" s="186">
        <v>3055700</v>
      </c>
      <c r="L115" s="186">
        <v>1300000</v>
      </c>
      <c r="M115" s="180">
        <f>K115/L115</f>
        <v>2.3505384615384615</v>
      </c>
    </row>
    <row r="116" spans="1:13" s="71" customFormat="1" ht="13.5" customHeight="1" x14ac:dyDescent="0.2">
      <c r="A116" s="172"/>
      <c r="B116" s="172"/>
      <c r="C116" s="172"/>
      <c r="D116" s="185" t="s">
        <v>123</v>
      </c>
      <c r="E116" s="181">
        <v>46280</v>
      </c>
      <c r="F116" s="178">
        <v>8.3750000000000005E-2</v>
      </c>
      <c r="G116" s="178">
        <v>7.4899999999999994E-2</v>
      </c>
      <c r="H116" s="178">
        <v>7.6399999999999996E-2</v>
      </c>
      <c r="I116" s="179">
        <v>7.5231800000000001E-2</v>
      </c>
      <c r="J116" s="179">
        <v>7.5399999999999995E-2</v>
      </c>
      <c r="K116" s="186">
        <v>11096000</v>
      </c>
      <c r="L116" s="186">
        <v>6650000</v>
      </c>
      <c r="M116" s="180">
        <f>K116/L116</f>
        <v>1.6685714285714286</v>
      </c>
    </row>
    <row r="117" spans="1:13" s="71" customFormat="1" ht="13.5" customHeight="1" x14ac:dyDescent="0.2">
      <c r="A117" s="171"/>
      <c r="B117" s="171"/>
      <c r="C117" s="171"/>
      <c r="D117" s="185" t="s">
        <v>131</v>
      </c>
      <c r="E117" s="181">
        <v>48044</v>
      </c>
      <c r="F117" s="178">
        <v>8.7499999999999994E-2</v>
      </c>
      <c r="G117" s="178">
        <v>7.7200000000000005E-2</v>
      </c>
      <c r="H117" s="178">
        <v>7.9699999999999993E-2</v>
      </c>
      <c r="I117" s="178">
        <v>7.7998600000000001E-2</v>
      </c>
      <c r="J117" s="179">
        <v>7.8200000000000006E-2</v>
      </c>
      <c r="K117" s="168">
        <v>10084000</v>
      </c>
      <c r="L117" s="168">
        <v>6050000</v>
      </c>
      <c r="M117" s="180">
        <f>K117/L117</f>
        <v>1.6667768595041321</v>
      </c>
    </row>
    <row r="118" spans="1:13" s="71" customFormat="1" ht="13.5" customHeight="1" x14ac:dyDescent="0.2">
      <c r="A118" s="248" t="s">
        <v>133</v>
      </c>
      <c r="B118" s="249"/>
      <c r="C118" s="249"/>
      <c r="D118" s="249"/>
      <c r="E118" s="249"/>
      <c r="F118" s="249"/>
      <c r="G118" s="249"/>
      <c r="H118" s="249"/>
      <c r="I118" s="249"/>
      <c r="J118" s="250"/>
      <c r="K118" s="187">
        <f>SUM(K113:K117)</f>
        <v>32030700</v>
      </c>
      <c r="L118" s="187">
        <f>SUM(L113:L117)</f>
        <v>18000000</v>
      </c>
      <c r="M118" s="188"/>
    </row>
    <row r="119" spans="1:13" x14ac:dyDescent="0.2">
      <c r="A119" s="177">
        <v>42479</v>
      </c>
      <c r="B119" s="177">
        <v>42481</v>
      </c>
      <c r="C119" s="177" t="s">
        <v>144</v>
      </c>
      <c r="D119" s="176" t="s">
        <v>177</v>
      </c>
      <c r="E119" s="181">
        <v>42649</v>
      </c>
      <c r="F119" s="178" t="s">
        <v>185</v>
      </c>
      <c r="G119" s="178">
        <v>5.4375E-2</v>
      </c>
      <c r="H119" s="178">
        <v>7.0000000000000007E-2</v>
      </c>
      <c r="I119" s="179">
        <v>5.5493300000000002E-2</v>
      </c>
      <c r="J119" s="179"/>
      <c r="K119" s="183">
        <v>3105000</v>
      </c>
      <c r="L119" s="183">
        <v>1000000</v>
      </c>
      <c r="M119" s="180">
        <f>K119/L119</f>
        <v>3.105</v>
      </c>
    </row>
    <row r="120" spans="1:13" x14ac:dyDescent="0.2">
      <c r="A120" s="172"/>
      <c r="B120" s="171"/>
      <c r="C120" s="171"/>
      <c r="D120" s="185" t="s">
        <v>128</v>
      </c>
      <c r="E120" s="181">
        <v>43125</v>
      </c>
      <c r="F120" s="178">
        <v>7.7499999999999999E-2</v>
      </c>
      <c r="G120" s="178">
        <v>7.3124999999999996E-2</v>
      </c>
      <c r="H120" s="178">
        <v>7.6874999999999999E-2</v>
      </c>
      <c r="I120" s="179">
        <v>7.4199600000000004E-2</v>
      </c>
      <c r="J120" s="179"/>
      <c r="K120" s="183">
        <v>4813000</v>
      </c>
      <c r="L120" s="183">
        <v>1010000</v>
      </c>
      <c r="M120" s="180">
        <f>K120/L120</f>
        <v>4.7653465346534656</v>
      </c>
    </row>
    <row r="121" spans="1:13" x14ac:dyDescent="0.2">
      <c r="A121" s="177"/>
      <c r="B121" s="171"/>
      <c r="C121" s="171"/>
      <c r="D121" s="185" t="s">
        <v>127</v>
      </c>
      <c r="E121" s="181">
        <v>44089</v>
      </c>
      <c r="F121" s="178">
        <v>8.2500000000000004E-2</v>
      </c>
      <c r="G121" s="178">
        <v>7.4687500000000004E-2</v>
      </c>
      <c r="H121" s="178">
        <v>7.8437499999999993E-2</v>
      </c>
      <c r="I121" s="179">
        <v>7.5956200000000001E-2</v>
      </c>
      <c r="J121" s="179"/>
      <c r="K121" s="183">
        <v>2295000</v>
      </c>
      <c r="L121" s="183">
        <v>1370000</v>
      </c>
      <c r="M121" s="180">
        <f>K121/L121</f>
        <v>1.6751824817518248</v>
      </c>
    </row>
    <row r="122" spans="1:13" x14ac:dyDescent="0.2">
      <c r="A122" s="172"/>
      <c r="B122" s="172"/>
      <c r="C122" s="172"/>
      <c r="D122" s="185" t="s">
        <v>129</v>
      </c>
      <c r="E122" s="181">
        <v>45153</v>
      </c>
      <c r="F122" s="178">
        <v>8.7499999999999994E-2</v>
      </c>
      <c r="G122" s="178">
        <v>7.6874999999999999E-2</v>
      </c>
      <c r="H122" s="178">
        <v>8.0312499999999995E-2</v>
      </c>
      <c r="I122" s="179">
        <v>7.72423E-2</v>
      </c>
      <c r="J122" s="179"/>
      <c r="K122" s="183">
        <v>1756000</v>
      </c>
      <c r="L122" s="183">
        <v>1585000</v>
      </c>
      <c r="M122" s="180">
        <f>K122/L122</f>
        <v>1.1078864353312303</v>
      </c>
    </row>
    <row r="123" spans="1:13" x14ac:dyDescent="0.2">
      <c r="A123" s="171"/>
      <c r="B123" s="171"/>
      <c r="C123" s="171"/>
      <c r="D123" s="185" t="s">
        <v>130</v>
      </c>
      <c r="E123" s="181">
        <v>48167</v>
      </c>
      <c r="F123" s="178">
        <v>8.8749999999999996E-2</v>
      </c>
      <c r="G123" s="178">
        <v>7.9375000000000001E-2</v>
      </c>
      <c r="H123" s="178">
        <v>8.5000000000000006E-2</v>
      </c>
      <c r="I123" s="178">
        <v>7.9984299999999994E-2</v>
      </c>
      <c r="J123" s="179"/>
      <c r="K123" s="183">
        <v>3344000</v>
      </c>
      <c r="L123" s="183">
        <v>1220000</v>
      </c>
      <c r="M123" s="180">
        <f>K123/L123</f>
        <v>2.7409836065573772</v>
      </c>
    </row>
    <row r="124" spans="1:13" x14ac:dyDescent="0.2">
      <c r="A124" s="248" t="s">
        <v>133</v>
      </c>
      <c r="B124" s="249"/>
      <c r="C124" s="249"/>
      <c r="D124" s="249"/>
      <c r="E124" s="249"/>
      <c r="F124" s="249"/>
      <c r="G124" s="249"/>
      <c r="H124" s="249"/>
      <c r="I124" s="249"/>
      <c r="J124" s="250"/>
      <c r="K124" s="187">
        <f>SUM(K119:K123)</f>
        <v>15313000</v>
      </c>
      <c r="L124" s="187">
        <f>SUM(L119:L123)</f>
        <v>6185000</v>
      </c>
      <c r="M124" s="188"/>
    </row>
    <row r="125" spans="1:13" s="71" customFormat="1" ht="13.5" customHeight="1" collapsed="1" x14ac:dyDescent="0.2">
      <c r="A125" s="177">
        <v>42486</v>
      </c>
      <c r="B125" s="177">
        <v>42488</v>
      </c>
      <c r="C125" s="177" t="s">
        <v>144</v>
      </c>
      <c r="D125" s="176" t="s">
        <v>125</v>
      </c>
      <c r="E125" s="181">
        <v>42741</v>
      </c>
      <c r="F125" s="178" t="s">
        <v>185</v>
      </c>
      <c r="G125" s="178">
        <v>5.8000000000000003E-2</v>
      </c>
      <c r="H125" s="178">
        <v>7.0000000000000007E-2</v>
      </c>
      <c r="I125" s="179">
        <v>5.8999999999999997E-2</v>
      </c>
      <c r="J125" s="179">
        <v>0.06</v>
      </c>
      <c r="K125" s="183">
        <v>4746000</v>
      </c>
      <c r="L125" s="184">
        <v>3000000</v>
      </c>
      <c r="M125" s="180">
        <f>K125/L125</f>
        <v>1.5820000000000001</v>
      </c>
    </row>
    <row r="126" spans="1:13" s="71" customFormat="1" ht="13.5" customHeight="1" x14ac:dyDescent="0.2">
      <c r="A126" s="177"/>
      <c r="B126" s="171"/>
      <c r="C126" s="171"/>
      <c r="D126" s="185" t="s">
        <v>121</v>
      </c>
      <c r="E126" s="181">
        <v>44392</v>
      </c>
      <c r="F126" s="178">
        <v>8.2500000000000004E-2</v>
      </c>
      <c r="G126" s="178">
        <v>7.3499999999999996E-2</v>
      </c>
      <c r="H126" s="178">
        <v>7.5499999999999998E-2</v>
      </c>
      <c r="I126" s="179">
        <v>7.3888700000000002E-2</v>
      </c>
      <c r="J126" s="179">
        <v>7.4200000000000002E-2</v>
      </c>
      <c r="K126" s="186">
        <v>4041000</v>
      </c>
      <c r="L126" s="186">
        <v>2850000</v>
      </c>
      <c r="M126" s="180">
        <f>K126/L126</f>
        <v>1.4178947368421053</v>
      </c>
    </row>
    <row r="127" spans="1:13" s="71" customFormat="1" ht="13.5" customHeight="1" x14ac:dyDescent="0.2">
      <c r="A127" s="172"/>
      <c r="B127" s="171"/>
      <c r="C127" s="171"/>
      <c r="D127" s="185" t="s">
        <v>123</v>
      </c>
      <c r="E127" s="181">
        <v>46280</v>
      </c>
      <c r="F127" s="178">
        <v>8.3750000000000005E-2</v>
      </c>
      <c r="G127" s="178">
        <v>7.6399999999999996E-2</v>
      </c>
      <c r="H127" s="178">
        <v>8.1000000000000003E-2</v>
      </c>
      <c r="I127" s="179">
        <v>7.6699600000000007E-2</v>
      </c>
      <c r="J127" s="179">
        <v>7.6899999999999996E-2</v>
      </c>
      <c r="K127" s="186">
        <v>8950500</v>
      </c>
      <c r="L127" s="186">
        <v>4700000</v>
      </c>
      <c r="M127" s="180">
        <f>K127/L127</f>
        <v>1.9043617021276595</v>
      </c>
    </row>
    <row r="128" spans="1:13" s="71" customFormat="1" ht="13.5" customHeight="1" x14ac:dyDescent="0.2">
      <c r="A128" s="172"/>
      <c r="B128" s="172"/>
      <c r="C128" s="172"/>
      <c r="D128" s="185" t="s">
        <v>124</v>
      </c>
      <c r="E128" s="181">
        <v>49810</v>
      </c>
      <c r="F128" s="178">
        <v>8.2500000000000004E-2</v>
      </c>
      <c r="G128" s="178">
        <v>7.8600000000000003E-2</v>
      </c>
      <c r="H128" s="178">
        <v>0.09</v>
      </c>
      <c r="I128" s="179">
        <v>7.8698099999999993E-2</v>
      </c>
      <c r="J128" s="179">
        <v>7.8799999999999995E-2</v>
      </c>
      <c r="K128" s="186">
        <v>4525400</v>
      </c>
      <c r="L128" s="186">
        <v>1150000</v>
      </c>
      <c r="M128" s="180">
        <f>K128/L128</f>
        <v>3.9351304347826086</v>
      </c>
    </row>
    <row r="129" spans="1:13" s="71" customFormat="1" ht="13.5" customHeight="1" x14ac:dyDescent="0.2">
      <c r="A129" s="171"/>
      <c r="B129" s="171"/>
      <c r="C129" s="171"/>
      <c r="D129" s="185" t="s">
        <v>167</v>
      </c>
      <c r="E129" s="181">
        <v>52642</v>
      </c>
      <c r="F129" s="178">
        <v>8.7499999999999994E-2</v>
      </c>
      <c r="G129" s="178">
        <v>7.9500000000000001E-2</v>
      </c>
      <c r="H129" s="178">
        <v>8.5000000000000006E-2</v>
      </c>
      <c r="I129" s="178">
        <v>8.1245100000000001E-2</v>
      </c>
      <c r="J129" s="179">
        <v>8.2000000000000003E-2</v>
      </c>
      <c r="K129" s="168">
        <v>2148500</v>
      </c>
      <c r="L129" s="168">
        <v>1700000</v>
      </c>
      <c r="M129" s="180">
        <f>K129/L129</f>
        <v>1.2638235294117648</v>
      </c>
    </row>
    <row r="130" spans="1:13" s="71" customFormat="1" ht="13.5" customHeight="1" x14ac:dyDescent="0.2">
      <c r="A130" s="248" t="s">
        <v>133</v>
      </c>
      <c r="B130" s="249"/>
      <c r="C130" s="249"/>
      <c r="D130" s="249"/>
      <c r="E130" s="249"/>
      <c r="F130" s="249"/>
      <c r="G130" s="249"/>
      <c r="H130" s="249"/>
      <c r="I130" s="249"/>
      <c r="J130" s="250"/>
      <c r="K130" s="187">
        <f>SUM(K125:K129)</f>
        <v>24411400</v>
      </c>
      <c r="L130" s="187">
        <f>SUM(L125:L129)</f>
        <v>13400000</v>
      </c>
      <c r="M130" s="188"/>
    </row>
    <row r="131" spans="1:13" x14ac:dyDescent="0.2">
      <c r="A131" s="177">
        <v>42485</v>
      </c>
      <c r="B131" s="177">
        <v>42487</v>
      </c>
      <c r="C131" s="219" t="s">
        <v>143</v>
      </c>
      <c r="D131" s="176" t="s">
        <v>178</v>
      </c>
      <c r="E131" s="181">
        <v>43582</v>
      </c>
      <c r="F131" s="178">
        <v>7.1999999999999995E-2</v>
      </c>
      <c r="G131" s="178"/>
      <c r="H131" s="178"/>
      <c r="I131" s="179"/>
      <c r="J131" s="179"/>
      <c r="K131" s="187">
        <v>1000000</v>
      </c>
      <c r="L131" s="187">
        <v>1000000</v>
      </c>
      <c r="M131" s="180">
        <f>K131/L131</f>
        <v>1</v>
      </c>
    </row>
    <row r="132" spans="1:13" x14ac:dyDescent="0.2">
      <c r="A132" s="248" t="s">
        <v>133</v>
      </c>
      <c r="B132" s="249"/>
      <c r="C132" s="249"/>
      <c r="D132" s="249"/>
      <c r="E132" s="249"/>
      <c r="F132" s="249"/>
      <c r="G132" s="249"/>
      <c r="H132" s="249"/>
      <c r="I132" s="249"/>
      <c r="J132" s="250"/>
      <c r="K132" s="187">
        <f>+K131</f>
        <v>1000000</v>
      </c>
      <c r="L132" s="187">
        <f>+L131</f>
        <v>1000000</v>
      </c>
      <c r="M132" s="188"/>
    </row>
    <row r="133" spans="1:13" x14ac:dyDescent="0.2">
      <c r="A133" s="251" t="s">
        <v>184</v>
      </c>
      <c r="B133" s="252"/>
      <c r="C133" s="252"/>
      <c r="D133" s="252"/>
      <c r="E133" s="252"/>
      <c r="F133" s="252"/>
      <c r="G133" s="252"/>
      <c r="H133" s="252"/>
      <c r="I133" s="252"/>
      <c r="J133" s="253"/>
      <c r="K133" s="175">
        <f>SUM(K104, K110, K112, K118, K124,K130, K132)</f>
        <v>562797804</v>
      </c>
      <c r="L133" s="175">
        <f>SUM(L104, L110, L112, L118, L124,L130, L132)</f>
        <v>307145446</v>
      </c>
      <c r="M133" s="169"/>
    </row>
    <row r="134" spans="1:13" x14ac:dyDescent="0.2">
      <c r="A134" s="177">
        <v>42493</v>
      </c>
      <c r="B134" s="177">
        <v>42499</v>
      </c>
      <c r="C134" s="177" t="s">
        <v>144</v>
      </c>
      <c r="D134" s="176" t="s">
        <v>179</v>
      </c>
      <c r="E134" s="181">
        <v>42678</v>
      </c>
      <c r="F134" s="182" t="s">
        <v>185</v>
      </c>
      <c r="G134" s="178">
        <v>5.6250000000000001E-2</v>
      </c>
      <c r="H134" s="178">
        <v>6.8750000000000006E-2</v>
      </c>
      <c r="I134" s="179">
        <v>5.6633599999999999E-2</v>
      </c>
      <c r="J134" s="179"/>
      <c r="K134" s="183">
        <v>1751000</v>
      </c>
      <c r="L134" s="183">
        <v>710000</v>
      </c>
      <c r="M134" s="180">
        <f>K134/L134</f>
        <v>2.4661971830985916</v>
      </c>
    </row>
    <row r="135" spans="1:13" x14ac:dyDescent="0.2">
      <c r="A135" s="177"/>
      <c r="B135" s="171"/>
      <c r="C135" s="171"/>
      <c r="D135" s="185" t="s">
        <v>127</v>
      </c>
      <c r="E135" s="181">
        <v>44089</v>
      </c>
      <c r="F135" s="178">
        <v>8.2500000000000004E-2</v>
      </c>
      <c r="G135" s="178">
        <v>7.4999999999999997E-2</v>
      </c>
      <c r="H135" s="178">
        <v>7.8125E-2</v>
      </c>
      <c r="I135" s="179">
        <v>7.6619599999999996E-2</v>
      </c>
      <c r="J135" s="179"/>
      <c r="K135" s="183">
        <v>1735000</v>
      </c>
      <c r="L135" s="183">
        <v>1165000</v>
      </c>
      <c r="M135" s="180">
        <f>K135/L135</f>
        <v>1.4892703862660943</v>
      </c>
    </row>
    <row r="136" spans="1:13" x14ac:dyDescent="0.2">
      <c r="A136" s="172"/>
      <c r="B136" s="171"/>
      <c r="C136" s="171"/>
      <c r="D136" s="185" t="s">
        <v>128</v>
      </c>
      <c r="E136" s="181">
        <v>43125</v>
      </c>
      <c r="F136" s="178">
        <v>7.7499999999999999E-2</v>
      </c>
      <c r="G136" s="178">
        <v>7.4062500000000003E-2</v>
      </c>
      <c r="H136" s="178">
        <v>7.7187500000000006E-2</v>
      </c>
      <c r="I136" s="179">
        <v>7.4062500000000003E-2</v>
      </c>
      <c r="J136" s="179"/>
      <c r="K136" s="183">
        <v>5392000</v>
      </c>
      <c r="L136" s="183">
        <v>1000000</v>
      </c>
      <c r="M136" s="180">
        <f>K136/L136</f>
        <v>5.3920000000000003</v>
      </c>
    </row>
    <row r="137" spans="1:13" x14ac:dyDescent="0.2">
      <c r="A137" s="172"/>
      <c r="B137" s="172"/>
      <c r="C137" s="172"/>
      <c r="D137" s="185" t="s">
        <v>129</v>
      </c>
      <c r="E137" s="181">
        <v>45153</v>
      </c>
      <c r="F137" s="178">
        <v>8.7499999999999994E-2</v>
      </c>
      <c r="G137" s="178">
        <v>7.8750000000000001E-2</v>
      </c>
      <c r="H137" s="178">
        <v>8.1250000000000003E-2</v>
      </c>
      <c r="I137" s="179">
        <v>7.9356999999999997E-2</v>
      </c>
      <c r="J137" s="179"/>
      <c r="K137" s="183">
        <v>1750000</v>
      </c>
      <c r="L137" s="183">
        <v>1660000</v>
      </c>
      <c r="M137" s="180">
        <f>K137/L137</f>
        <v>1.0542168674698795</v>
      </c>
    </row>
    <row r="138" spans="1:13" x14ac:dyDescent="0.2">
      <c r="A138" s="171"/>
      <c r="B138" s="171"/>
      <c r="C138" s="171"/>
      <c r="D138" s="185" t="s">
        <v>130</v>
      </c>
      <c r="E138" s="181">
        <v>48167</v>
      </c>
      <c r="F138" s="178">
        <v>8.8749999999999996E-2</v>
      </c>
      <c r="G138" s="178">
        <v>8.1250000000000003E-2</v>
      </c>
      <c r="H138" s="178">
        <v>8.6249999999999993E-2</v>
      </c>
      <c r="I138" s="178">
        <v>8.1513699999999994E-2</v>
      </c>
      <c r="J138" s="179"/>
      <c r="K138" s="183">
        <v>2616100</v>
      </c>
      <c r="L138" s="183">
        <v>1790000</v>
      </c>
      <c r="M138" s="180">
        <f>K138/L138</f>
        <v>1.4615083798882682</v>
      </c>
    </row>
    <row r="139" spans="1:13" x14ac:dyDescent="0.2">
      <c r="A139" s="248" t="s">
        <v>133</v>
      </c>
      <c r="B139" s="249"/>
      <c r="C139" s="249"/>
      <c r="D139" s="249"/>
      <c r="E139" s="249"/>
      <c r="F139" s="249"/>
      <c r="G139" s="249"/>
      <c r="H139" s="249"/>
      <c r="I139" s="249"/>
      <c r="J139" s="250"/>
      <c r="K139" s="187">
        <f>SUM(K134:K138)</f>
        <v>13244100</v>
      </c>
      <c r="L139" s="187">
        <f>SUM(L134:L138)</f>
        <v>6325000</v>
      </c>
      <c r="M139" s="188"/>
    </row>
    <row r="140" spans="1:13" s="71" customFormat="1" ht="13.5" customHeight="1" collapsed="1" x14ac:dyDescent="0.2">
      <c r="A140" s="177">
        <v>42500</v>
      </c>
      <c r="B140" s="177">
        <v>42502</v>
      </c>
      <c r="C140" s="177" t="s">
        <v>144</v>
      </c>
      <c r="D140" s="176" t="s">
        <v>182</v>
      </c>
      <c r="E140" s="181">
        <v>42593</v>
      </c>
      <c r="F140" s="178" t="s">
        <v>185</v>
      </c>
      <c r="G140" s="178">
        <v>5.4899999999999997E-2</v>
      </c>
      <c r="H140" s="178">
        <v>6.2700000000000006E-2</v>
      </c>
      <c r="I140" s="179">
        <v>5.6568E-2</v>
      </c>
      <c r="J140" s="179">
        <v>5.74E-2</v>
      </c>
      <c r="K140" s="183">
        <v>1775000</v>
      </c>
      <c r="L140" s="184">
        <v>1000000</v>
      </c>
      <c r="M140" s="180">
        <f>K140/L140</f>
        <v>1.7749999999999999</v>
      </c>
    </row>
    <row r="141" spans="1:13" s="71" customFormat="1" ht="13.5" customHeight="1" x14ac:dyDescent="0.2">
      <c r="A141" s="177"/>
      <c r="B141" s="171"/>
      <c r="C141" s="171"/>
      <c r="D141" s="185" t="s">
        <v>183</v>
      </c>
      <c r="E141" s="181">
        <v>42866</v>
      </c>
      <c r="F141" s="178" t="s">
        <v>185</v>
      </c>
      <c r="G141" s="178">
        <v>5.8000000000000003E-2</v>
      </c>
      <c r="H141" s="178">
        <v>7.0000000000000007E-2</v>
      </c>
      <c r="I141" s="179">
        <v>6.2314300000000003E-2</v>
      </c>
      <c r="J141" s="179">
        <v>6.6000000000000003E-2</v>
      </c>
      <c r="K141" s="186">
        <v>2551000</v>
      </c>
      <c r="L141" s="186">
        <v>1600000</v>
      </c>
      <c r="M141" s="180">
        <f>K141/L141</f>
        <v>1.5943750000000001</v>
      </c>
    </row>
    <row r="142" spans="1:13" s="71" customFormat="1" ht="13.5" customHeight="1" x14ac:dyDescent="0.2">
      <c r="A142" s="172"/>
      <c r="B142" s="171"/>
      <c r="C142" s="171"/>
      <c r="D142" s="185" t="s">
        <v>121</v>
      </c>
      <c r="E142" s="181">
        <v>44392</v>
      </c>
      <c r="F142" s="178">
        <v>8.2500000000000004E-2</v>
      </c>
      <c r="G142" s="178">
        <v>7.46E-2</v>
      </c>
      <c r="H142" s="178">
        <v>7.6499999999999999E-2</v>
      </c>
      <c r="I142" s="179">
        <v>7.4982300000000002E-2</v>
      </c>
      <c r="J142" s="179">
        <v>7.5200000000000003E-2</v>
      </c>
      <c r="K142" s="186">
        <v>2931500</v>
      </c>
      <c r="L142" s="186">
        <v>1350000</v>
      </c>
      <c r="M142" s="180">
        <f>K142/L142</f>
        <v>2.1714814814814813</v>
      </c>
    </row>
    <row r="143" spans="1:13" s="71" customFormat="1" ht="13.5" customHeight="1" x14ac:dyDescent="0.2">
      <c r="A143" s="172"/>
      <c r="B143" s="172"/>
      <c r="C143" s="172"/>
      <c r="D143" s="185" t="s">
        <v>131</v>
      </c>
      <c r="E143" s="181">
        <v>47983</v>
      </c>
      <c r="F143" s="178">
        <v>8.7499999999999994E-2</v>
      </c>
      <c r="G143" s="178">
        <v>7.9500000000000001E-2</v>
      </c>
      <c r="H143" s="178">
        <v>8.2000000000000003E-2</v>
      </c>
      <c r="I143" s="179">
        <v>7.9929500000000001E-2</v>
      </c>
      <c r="J143" s="179">
        <v>0.08</v>
      </c>
      <c r="K143" s="186">
        <v>3114400</v>
      </c>
      <c r="L143" s="186">
        <v>1200000</v>
      </c>
      <c r="M143" s="180">
        <f>K143/L143</f>
        <v>2.5953333333333335</v>
      </c>
    </row>
    <row r="144" spans="1:13" s="71" customFormat="1" ht="13.5" customHeight="1" x14ac:dyDescent="0.2">
      <c r="A144" s="171"/>
      <c r="B144" s="171"/>
      <c r="C144" s="171"/>
      <c r="D144" s="185" t="s">
        <v>124</v>
      </c>
      <c r="E144" s="181">
        <v>49810</v>
      </c>
      <c r="F144" s="178">
        <v>8.2500000000000004E-2</v>
      </c>
      <c r="G144" s="178">
        <v>7.9299999999999995E-2</v>
      </c>
      <c r="H144" s="178">
        <v>8.4000000000000005E-2</v>
      </c>
      <c r="I144" s="178">
        <v>7.9964800000000003E-2</v>
      </c>
      <c r="J144" s="179">
        <v>8.0199999999999994E-2</v>
      </c>
      <c r="K144" s="168">
        <v>3060000</v>
      </c>
      <c r="L144" s="168">
        <v>1000000</v>
      </c>
      <c r="M144" s="180">
        <f>K144/L144</f>
        <v>3.06</v>
      </c>
    </row>
    <row r="145" spans="1:13" s="71" customFormat="1" ht="13.5" customHeight="1" x14ac:dyDescent="0.2">
      <c r="A145" s="248" t="s">
        <v>133</v>
      </c>
      <c r="B145" s="249"/>
      <c r="C145" s="249"/>
      <c r="D145" s="249"/>
      <c r="E145" s="249"/>
      <c r="F145" s="249"/>
      <c r="G145" s="249"/>
      <c r="H145" s="249"/>
      <c r="I145" s="249"/>
      <c r="J145" s="250"/>
      <c r="K145" s="187">
        <f>SUM(K140:K144)</f>
        <v>13431900</v>
      </c>
      <c r="L145" s="187">
        <f>SUM(L140:L144)</f>
        <v>6150000</v>
      </c>
      <c r="M145" s="188"/>
    </row>
    <row r="146" spans="1:13" s="71" customFormat="1" ht="13.5" customHeight="1" x14ac:dyDescent="0.2">
      <c r="A146" s="177">
        <v>42507</v>
      </c>
      <c r="B146" s="177">
        <v>42509</v>
      </c>
      <c r="C146" s="177" t="s">
        <v>144</v>
      </c>
      <c r="D146" s="176" t="s">
        <v>179</v>
      </c>
      <c r="E146" s="181">
        <v>42678</v>
      </c>
      <c r="F146" s="182" t="s">
        <v>185</v>
      </c>
      <c r="G146" s="178">
        <v>5.6250000000000001E-2</v>
      </c>
      <c r="H146" s="178">
        <v>6.1249999999999999E-2</v>
      </c>
      <c r="I146" s="179">
        <v>5.6952799999999998E-2</v>
      </c>
      <c r="J146" s="179"/>
      <c r="K146" s="183">
        <v>1600000</v>
      </c>
      <c r="L146" s="184">
        <v>605000</v>
      </c>
      <c r="M146" s="180">
        <f>K146/L146</f>
        <v>2.6446280991735538</v>
      </c>
    </row>
    <row r="147" spans="1:13" s="71" customFormat="1" ht="13.5" customHeight="1" x14ac:dyDescent="0.2">
      <c r="A147" s="177"/>
      <c r="B147" s="171"/>
      <c r="C147" s="171"/>
      <c r="D147" s="185" t="s">
        <v>128</v>
      </c>
      <c r="E147" s="181">
        <v>43125</v>
      </c>
      <c r="F147" s="178">
        <v>7.7499999999999999E-2</v>
      </c>
      <c r="G147" s="178">
        <v>7.3124999999999996E-2</v>
      </c>
      <c r="H147" s="178">
        <v>0.08</v>
      </c>
      <c r="I147" s="179">
        <v>7.3124999999999996E-2</v>
      </c>
      <c r="J147" s="179"/>
      <c r="K147" s="186">
        <v>8336000</v>
      </c>
      <c r="L147" s="186">
        <v>1480000</v>
      </c>
      <c r="M147" s="180">
        <f>K147/L147</f>
        <v>5.6324324324324326</v>
      </c>
    </row>
    <row r="148" spans="1:13" s="71" customFormat="1" ht="13.5" customHeight="1" x14ac:dyDescent="0.2">
      <c r="A148" s="172"/>
      <c r="B148" s="171"/>
      <c r="C148" s="171"/>
      <c r="D148" s="185" t="s">
        <v>127</v>
      </c>
      <c r="E148" s="181">
        <v>44089</v>
      </c>
      <c r="F148" s="178">
        <v>8.2500000000000004E-2</v>
      </c>
      <c r="G148" s="178">
        <v>7.5937500000000005E-2</v>
      </c>
      <c r="H148" s="178">
        <v>7.8437499999999993E-2</v>
      </c>
      <c r="I148" s="179">
        <v>7.6691499999999996E-2</v>
      </c>
      <c r="J148" s="179"/>
      <c r="K148" s="186">
        <v>1712500</v>
      </c>
      <c r="L148" s="186">
        <v>1660000</v>
      </c>
      <c r="M148" s="180">
        <f>K148/L148</f>
        <v>1.0316265060240963</v>
      </c>
    </row>
    <row r="149" spans="1:13" s="71" customFormat="1" ht="13.5" customHeight="1" x14ac:dyDescent="0.2">
      <c r="A149" s="172"/>
      <c r="B149" s="172"/>
      <c r="C149" s="172"/>
      <c r="D149" s="185" t="s">
        <v>129</v>
      </c>
      <c r="E149" s="181">
        <v>45153</v>
      </c>
      <c r="F149" s="178">
        <v>8.7499999999999994E-2</v>
      </c>
      <c r="G149" s="178">
        <v>7.8750000000000001E-2</v>
      </c>
      <c r="H149" s="178">
        <v>8.1250000000000003E-2</v>
      </c>
      <c r="I149" s="179">
        <v>8.0019400000000004E-2</v>
      </c>
      <c r="J149" s="179"/>
      <c r="K149" s="186">
        <v>950600</v>
      </c>
      <c r="L149" s="186">
        <v>885000</v>
      </c>
      <c r="M149" s="180">
        <f>K149/L149</f>
        <v>1.0741242937853108</v>
      </c>
    </row>
    <row r="150" spans="1:13" s="71" customFormat="1" ht="13.5" customHeight="1" x14ac:dyDescent="0.2">
      <c r="A150" s="171"/>
      <c r="B150" s="171"/>
      <c r="C150" s="171"/>
      <c r="D150" s="185" t="s">
        <v>130</v>
      </c>
      <c r="E150" s="181">
        <v>48167</v>
      </c>
      <c r="F150" s="178">
        <v>8.8749999999999996E-2</v>
      </c>
      <c r="G150" s="178">
        <v>8.0625000000000002E-2</v>
      </c>
      <c r="H150" s="178">
        <v>8.3125000000000004E-2</v>
      </c>
      <c r="I150" s="178">
        <v>8.1965700000000002E-2</v>
      </c>
      <c r="J150" s="179"/>
      <c r="K150" s="168">
        <v>1912000</v>
      </c>
      <c r="L150" s="168">
        <v>1875000</v>
      </c>
      <c r="M150" s="180">
        <f>K150/L150</f>
        <v>1.0197333333333334</v>
      </c>
    </row>
    <row r="151" spans="1:13" s="71" customFormat="1" ht="13.5" customHeight="1" x14ac:dyDescent="0.2">
      <c r="A151" s="248" t="s">
        <v>133</v>
      </c>
      <c r="B151" s="249"/>
      <c r="C151" s="249"/>
      <c r="D151" s="249"/>
      <c r="E151" s="249"/>
      <c r="F151" s="249"/>
      <c r="G151" s="249"/>
      <c r="H151" s="249"/>
      <c r="I151" s="249"/>
      <c r="J151" s="250"/>
      <c r="K151" s="187">
        <f>SUM(K146:K150)</f>
        <v>14511100</v>
      </c>
      <c r="L151" s="187">
        <f>SUM(L146:L150)</f>
        <v>6505000</v>
      </c>
      <c r="M151" s="188"/>
    </row>
    <row r="152" spans="1:13" s="71" customFormat="1" ht="13.5" customHeight="1" x14ac:dyDescent="0.2">
      <c r="A152" s="206">
        <v>42508</v>
      </c>
      <c r="B152" s="206">
        <v>42510</v>
      </c>
      <c r="C152" s="207" t="s">
        <v>143</v>
      </c>
      <c r="D152" s="208" t="s">
        <v>47</v>
      </c>
      <c r="E152" s="209">
        <v>51971</v>
      </c>
      <c r="F152" s="210">
        <v>6.3750000000000001E-2</v>
      </c>
      <c r="G152" s="210"/>
      <c r="H152" s="210"/>
      <c r="I152" s="210">
        <v>8.1500000000000003E-2</v>
      </c>
      <c r="J152" s="210"/>
      <c r="K152" s="211">
        <v>400000</v>
      </c>
      <c r="L152" s="211">
        <v>400000</v>
      </c>
      <c r="M152" s="180">
        <f>K152/L152</f>
        <v>1</v>
      </c>
    </row>
    <row r="153" spans="1:13" s="71" customFormat="1" ht="13.5" customHeight="1" x14ac:dyDescent="0.2">
      <c r="A153" s="248" t="s">
        <v>133</v>
      </c>
      <c r="B153" s="249"/>
      <c r="C153" s="249"/>
      <c r="D153" s="249"/>
      <c r="E153" s="249"/>
      <c r="F153" s="249"/>
      <c r="G153" s="249"/>
      <c r="H153" s="249"/>
      <c r="I153" s="249"/>
      <c r="J153" s="250"/>
      <c r="K153" s="187">
        <f>K152</f>
        <v>400000</v>
      </c>
      <c r="L153" s="187">
        <f>L152</f>
        <v>400000</v>
      </c>
      <c r="M153" s="188"/>
    </row>
    <row r="154" spans="1:13" s="71" customFormat="1" ht="13.5" customHeight="1" x14ac:dyDescent="0.2">
      <c r="A154" s="206">
        <v>42513</v>
      </c>
      <c r="B154" s="206">
        <v>42515</v>
      </c>
      <c r="C154" s="207" t="s">
        <v>142</v>
      </c>
      <c r="D154" s="208" t="s">
        <v>186</v>
      </c>
      <c r="E154" s="209">
        <v>43240</v>
      </c>
      <c r="F154" s="210">
        <v>7.4999999999999997E-2</v>
      </c>
      <c r="G154" s="210"/>
      <c r="H154" s="210"/>
      <c r="I154" s="210"/>
      <c r="J154" s="210"/>
      <c r="K154" s="211">
        <v>3929005</v>
      </c>
      <c r="L154" s="211">
        <v>3919005</v>
      </c>
      <c r="M154" s="180">
        <f>K154/L154</f>
        <v>1.0025516680892217</v>
      </c>
    </row>
    <row r="155" spans="1:13" s="71" customFormat="1" ht="13.5" customHeight="1" x14ac:dyDescent="0.2">
      <c r="A155" s="248" t="s">
        <v>133</v>
      </c>
      <c r="B155" s="249"/>
      <c r="C155" s="249"/>
      <c r="D155" s="249"/>
      <c r="E155" s="249"/>
      <c r="F155" s="249"/>
      <c r="G155" s="249"/>
      <c r="H155" s="249"/>
      <c r="I155" s="249"/>
      <c r="J155" s="250"/>
      <c r="K155" s="187">
        <f>K154</f>
        <v>3929005</v>
      </c>
      <c r="L155" s="187">
        <f>L154</f>
        <v>3919005</v>
      </c>
      <c r="M155" s="188"/>
    </row>
    <row r="156" spans="1:13" s="71" customFormat="1" ht="13.5" customHeight="1" collapsed="1" x14ac:dyDescent="0.2">
      <c r="A156" s="177">
        <v>42514</v>
      </c>
      <c r="B156" s="177">
        <v>42516</v>
      </c>
      <c r="C156" s="177" t="s">
        <v>144</v>
      </c>
      <c r="D156" s="176" t="s">
        <v>149</v>
      </c>
      <c r="E156" s="181">
        <v>42769</v>
      </c>
      <c r="F156" s="178" t="s">
        <v>185</v>
      </c>
      <c r="G156" s="178">
        <v>0.06</v>
      </c>
      <c r="H156" s="178">
        <v>6.7000000000000004E-2</v>
      </c>
      <c r="I156" s="179">
        <v>6.4377500000000004E-2</v>
      </c>
      <c r="J156" s="179">
        <v>6.7000000000000004E-2</v>
      </c>
      <c r="K156" s="183">
        <v>890000</v>
      </c>
      <c r="L156" s="184">
        <v>890000</v>
      </c>
      <c r="M156" s="180">
        <f>K156/L156</f>
        <v>1</v>
      </c>
    </row>
    <row r="157" spans="1:13" s="71" customFormat="1" ht="13.5" customHeight="1" x14ac:dyDescent="0.2">
      <c r="A157" s="177"/>
      <c r="B157" s="171"/>
      <c r="C157" s="171"/>
      <c r="D157" s="185" t="s">
        <v>123</v>
      </c>
      <c r="E157" s="181">
        <v>46280</v>
      </c>
      <c r="F157" s="178">
        <v>8.3750000000000005E-2</v>
      </c>
      <c r="G157" s="178">
        <v>7.9000000000000001E-2</v>
      </c>
      <c r="H157" s="178">
        <v>8.1500000000000003E-2</v>
      </c>
      <c r="I157" s="179">
        <v>7.9769999999999994E-2</v>
      </c>
      <c r="J157" s="179">
        <v>0.08</v>
      </c>
      <c r="K157" s="186">
        <v>6332500</v>
      </c>
      <c r="L157" s="186">
        <v>4700000</v>
      </c>
      <c r="M157" s="180">
        <f>K157/L157</f>
        <v>1.3473404255319148</v>
      </c>
    </row>
    <row r="158" spans="1:13" s="71" customFormat="1" ht="13.5" customHeight="1" x14ac:dyDescent="0.2">
      <c r="A158" s="172"/>
      <c r="B158" s="171"/>
      <c r="C158" s="171"/>
      <c r="D158" s="185" t="s">
        <v>131</v>
      </c>
      <c r="E158" s="181">
        <v>47983</v>
      </c>
      <c r="F158" s="178">
        <v>8.7499999999999994E-2</v>
      </c>
      <c r="G158" s="178">
        <v>8.1199999999999994E-2</v>
      </c>
      <c r="H158" s="178">
        <v>8.3500000000000005E-2</v>
      </c>
      <c r="I158" s="179">
        <v>8.1496399999999997E-2</v>
      </c>
      <c r="J158" s="179">
        <v>8.1600000000000006E-2</v>
      </c>
      <c r="K158" s="186">
        <v>3980000</v>
      </c>
      <c r="L158" s="186">
        <v>1350000</v>
      </c>
      <c r="M158" s="180">
        <f>K158/L158</f>
        <v>2.9481481481481482</v>
      </c>
    </row>
    <row r="159" spans="1:13" s="71" customFormat="1" ht="13.5" customHeight="1" x14ac:dyDescent="0.2">
      <c r="A159" s="172"/>
      <c r="B159" s="172"/>
      <c r="C159" s="172"/>
      <c r="D159" s="185" t="s">
        <v>124</v>
      </c>
      <c r="E159" s="181">
        <v>49810</v>
      </c>
      <c r="F159" s="178">
        <v>8.2500000000000004E-2</v>
      </c>
      <c r="G159" s="178">
        <v>8.09E-2</v>
      </c>
      <c r="H159" s="178">
        <v>8.3000000000000004E-2</v>
      </c>
      <c r="I159" s="179">
        <v>8.1569600000000006E-2</v>
      </c>
      <c r="J159" s="179">
        <v>8.2000000000000003E-2</v>
      </c>
      <c r="K159" s="186">
        <v>3483600</v>
      </c>
      <c r="L159" s="186">
        <v>3050000</v>
      </c>
      <c r="M159" s="180">
        <f>K159/L159</f>
        <v>1.1421639344262295</v>
      </c>
    </row>
    <row r="160" spans="1:13" s="71" customFormat="1" ht="13.5" customHeight="1" x14ac:dyDescent="0.2">
      <c r="A160" s="248" t="s">
        <v>133</v>
      </c>
      <c r="B160" s="249"/>
      <c r="C160" s="249"/>
      <c r="D160" s="249"/>
      <c r="E160" s="249"/>
      <c r="F160" s="249"/>
      <c r="G160" s="249"/>
      <c r="H160" s="249"/>
      <c r="I160" s="249"/>
      <c r="J160" s="250"/>
      <c r="K160" s="187">
        <f>SUM(K156:K159)</f>
        <v>14686100</v>
      </c>
      <c r="L160" s="187">
        <f>SUM(L156:L159)</f>
        <v>9990000</v>
      </c>
      <c r="M160" s="188"/>
    </row>
    <row r="161" spans="1:18" x14ac:dyDescent="0.2">
      <c r="A161" s="251" t="s">
        <v>187</v>
      </c>
      <c r="B161" s="252"/>
      <c r="C161" s="252"/>
      <c r="D161" s="252"/>
      <c r="E161" s="252"/>
      <c r="F161" s="252"/>
      <c r="G161" s="252"/>
      <c r="H161" s="252"/>
      <c r="I161" s="252"/>
      <c r="J161" s="253"/>
      <c r="K161" s="175">
        <f>SUM(K133,K139, K145,K151,K153, K155,K160)</f>
        <v>623000009</v>
      </c>
      <c r="L161" s="175">
        <f>SUM(L133,L139, L145,L151,L153, L155,L160)</f>
        <v>340434451</v>
      </c>
      <c r="M161" s="169"/>
    </row>
    <row r="162" spans="1:18" s="71" customFormat="1" ht="13.5" customHeight="1" x14ac:dyDescent="0.2">
      <c r="A162" s="177">
        <v>42521</v>
      </c>
      <c r="B162" s="177">
        <v>42523</v>
      </c>
      <c r="C162" s="177" t="s">
        <v>144</v>
      </c>
      <c r="D162" s="176" t="s">
        <v>188</v>
      </c>
      <c r="E162" s="181">
        <v>42705</v>
      </c>
      <c r="F162" s="182" t="s">
        <v>185</v>
      </c>
      <c r="G162" s="178">
        <v>5.6250000000000001E-2</v>
      </c>
      <c r="H162" s="178">
        <v>6.5000000000000002E-2</v>
      </c>
      <c r="I162" s="179">
        <v>5.7066100000000002E-2</v>
      </c>
      <c r="J162" s="179"/>
      <c r="K162" s="183">
        <v>1531000</v>
      </c>
      <c r="L162" s="184">
        <v>570000</v>
      </c>
      <c r="M162" s="180">
        <f>K162/L162</f>
        <v>2.6859649122807019</v>
      </c>
    </row>
    <row r="163" spans="1:18" s="71" customFormat="1" ht="13.5" customHeight="1" x14ac:dyDescent="0.2">
      <c r="A163" s="177"/>
      <c r="B163" s="171"/>
      <c r="C163" s="171"/>
      <c r="D163" s="185" t="s">
        <v>128</v>
      </c>
      <c r="E163" s="181">
        <v>43125</v>
      </c>
      <c r="F163" s="178">
        <v>7.7499999999999999E-2</v>
      </c>
      <c r="G163" s="178">
        <v>7.2187500000000002E-2</v>
      </c>
      <c r="H163" s="178">
        <v>0.08</v>
      </c>
      <c r="I163" s="179">
        <v>7.3669299999999993E-2</v>
      </c>
      <c r="J163" s="179"/>
      <c r="K163" s="186">
        <v>5255000</v>
      </c>
      <c r="L163" s="186">
        <v>2750000</v>
      </c>
      <c r="M163" s="180">
        <f>K163/L163</f>
        <v>1.9109090909090909</v>
      </c>
    </row>
    <row r="164" spans="1:18" s="71" customFormat="1" ht="13.5" customHeight="1" x14ac:dyDescent="0.2">
      <c r="A164" s="172"/>
      <c r="B164" s="171"/>
      <c r="C164" s="171"/>
      <c r="D164" s="185" t="s">
        <v>127</v>
      </c>
      <c r="E164" s="181">
        <v>44089</v>
      </c>
      <c r="F164" s="178">
        <v>8.2500000000000004E-2</v>
      </c>
      <c r="G164" s="178">
        <v>7.6562500000000006E-2</v>
      </c>
      <c r="H164" s="178">
        <v>7.9687499999999994E-2</v>
      </c>
      <c r="I164" s="179">
        <v>7.7555200000000005E-2</v>
      </c>
      <c r="J164" s="179"/>
      <c r="K164" s="186">
        <v>1248000</v>
      </c>
      <c r="L164" s="186">
        <v>1110000</v>
      </c>
      <c r="M164" s="180">
        <f>K164/L164</f>
        <v>1.1243243243243244</v>
      </c>
    </row>
    <row r="165" spans="1:18" s="71" customFormat="1" ht="13.5" customHeight="1" x14ac:dyDescent="0.2">
      <c r="A165" s="172"/>
      <c r="B165" s="172"/>
      <c r="C165" s="172"/>
      <c r="D165" s="185" t="s">
        <v>129</v>
      </c>
      <c r="E165" s="181">
        <v>45153</v>
      </c>
      <c r="F165" s="178">
        <v>8.7499999999999994E-2</v>
      </c>
      <c r="G165" s="178">
        <v>8.1250000000000003E-2</v>
      </c>
      <c r="H165" s="178">
        <v>8.8437500000000002E-2</v>
      </c>
      <c r="I165" s="179">
        <v>0</v>
      </c>
      <c r="J165" s="179"/>
      <c r="K165" s="186">
        <v>376200</v>
      </c>
      <c r="L165" s="186">
        <v>0</v>
      </c>
      <c r="M165" s="180"/>
    </row>
    <row r="166" spans="1:18" s="71" customFormat="1" ht="13.5" customHeight="1" x14ac:dyDescent="0.2">
      <c r="A166" s="171"/>
      <c r="B166" s="171"/>
      <c r="C166" s="171"/>
      <c r="D166" s="185" t="s">
        <v>130</v>
      </c>
      <c r="E166" s="181">
        <v>48167</v>
      </c>
      <c r="F166" s="178">
        <v>8.8749999999999996E-2</v>
      </c>
      <c r="G166" s="178">
        <v>8.2812499999999997E-2</v>
      </c>
      <c r="H166" s="178">
        <v>8.7499999999999994E-2</v>
      </c>
      <c r="I166" s="178">
        <v>8.3793900000000004E-2</v>
      </c>
      <c r="J166" s="179"/>
      <c r="K166" s="186">
        <v>1219000</v>
      </c>
      <c r="L166" s="168">
        <v>500000</v>
      </c>
      <c r="M166" s="180">
        <f>K166/L166</f>
        <v>2.4380000000000002</v>
      </c>
    </row>
    <row r="167" spans="1:18" s="71" customFormat="1" ht="13.5" customHeight="1" x14ac:dyDescent="0.2">
      <c r="A167" s="248" t="s">
        <v>133</v>
      </c>
      <c r="B167" s="249"/>
      <c r="C167" s="249"/>
      <c r="D167" s="249"/>
      <c r="E167" s="249"/>
      <c r="F167" s="249"/>
      <c r="G167" s="249"/>
      <c r="H167" s="249"/>
      <c r="I167" s="249"/>
      <c r="J167" s="250"/>
      <c r="K167" s="187">
        <f>SUM(K162:K166)</f>
        <v>9629200</v>
      </c>
      <c r="L167" s="187">
        <f>SUM(L162:L166)</f>
        <v>4930000</v>
      </c>
      <c r="M167" s="180"/>
    </row>
    <row r="168" spans="1:18" s="71" customFormat="1" ht="13.5" customHeight="1" x14ac:dyDescent="0.2">
      <c r="A168" s="177">
        <v>42528</v>
      </c>
      <c r="B168" s="177">
        <v>42530</v>
      </c>
      <c r="C168" s="177" t="s">
        <v>144</v>
      </c>
      <c r="D168" s="176" t="s">
        <v>189</v>
      </c>
      <c r="E168" s="181">
        <v>42621</v>
      </c>
      <c r="F168" s="182" t="s">
        <v>185</v>
      </c>
      <c r="G168" s="178">
        <v>5.3900000000000003E-2</v>
      </c>
      <c r="H168" s="178">
        <v>6.2E-2</v>
      </c>
      <c r="I168" s="179">
        <v>5.5210000000000002E-2</v>
      </c>
      <c r="J168" s="179">
        <v>5.67E-2</v>
      </c>
      <c r="K168" s="183">
        <v>2811000</v>
      </c>
      <c r="L168" s="184">
        <v>2000000</v>
      </c>
      <c r="M168" s="180">
        <f>K168/L168</f>
        <v>1.4055</v>
      </c>
    </row>
    <row r="169" spans="1:18" s="71" customFormat="1" ht="13.5" customHeight="1" x14ac:dyDescent="0.2">
      <c r="A169" s="177"/>
      <c r="B169" s="171"/>
      <c r="C169" s="171"/>
      <c r="D169" s="185" t="s">
        <v>190</v>
      </c>
      <c r="E169" s="181">
        <v>42894</v>
      </c>
      <c r="F169" s="178" t="s">
        <v>185</v>
      </c>
      <c r="G169" s="178">
        <v>6.25E-2</v>
      </c>
      <c r="H169" s="178">
        <v>7.1999999999999995E-2</v>
      </c>
      <c r="I169" s="179">
        <v>6.2846200000000005E-2</v>
      </c>
      <c r="J169" s="179">
        <v>6.4000000000000001E-2</v>
      </c>
      <c r="K169" s="186">
        <v>2291000</v>
      </c>
      <c r="L169" s="186">
        <v>1250000</v>
      </c>
      <c r="M169" s="180">
        <f>K169/L169</f>
        <v>1.8328</v>
      </c>
    </row>
    <row r="170" spans="1:18" s="71" customFormat="1" ht="13.5" customHeight="1" x14ac:dyDescent="0.2">
      <c r="A170" s="172"/>
      <c r="B170" s="171"/>
      <c r="C170" s="171"/>
      <c r="D170" s="185" t="s">
        <v>121</v>
      </c>
      <c r="E170" s="181">
        <v>44392</v>
      </c>
      <c r="F170" s="178">
        <v>8.2500000000000004E-2</v>
      </c>
      <c r="G170" s="178">
        <v>7.4499999999999997E-2</v>
      </c>
      <c r="H170" s="178">
        <v>7.6700000000000004E-2</v>
      </c>
      <c r="I170" s="179">
        <v>7.4583399999999994E-2</v>
      </c>
      <c r="J170" s="179">
        <v>7.4800000000000005E-2</v>
      </c>
      <c r="K170" s="186">
        <v>9775000</v>
      </c>
      <c r="L170" s="186">
        <v>5150000</v>
      </c>
      <c r="M170" s="180">
        <f>K170/L170</f>
        <v>1.8980582524271845</v>
      </c>
    </row>
    <row r="171" spans="1:18" s="71" customFormat="1" ht="13.5" customHeight="1" x14ac:dyDescent="0.2">
      <c r="A171" s="172"/>
      <c r="B171" s="172"/>
      <c r="C171" s="172"/>
      <c r="D171" s="185" t="s">
        <v>123</v>
      </c>
      <c r="E171" s="181">
        <v>46280</v>
      </c>
      <c r="F171" s="178">
        <v>8.3750000000000005E-2</v>
      </c>
      <c r="G171" s="178">
        <v>7.6999999999999999E-2</v>
      </c>
      <c r="H171" s="178">
        <v>8.3699999999999997E-2</v>
      </c>
      <c r="I171" s="179">
        <v>7.7240199999999995E-2</v>
      </c>
      <c r="J171" s="179">
        <v>7.7299999999999994E-2</v>
      </c>
      <c r="K171" s="186">
        <v>16277000</v>
      </c>
      <c r="L171" s="186">
        <v>1900000</v>
      </c>
      <c r="M171" s="180">
        <f>K171/L171</f>
        <v>8.5668421052631576</v>
      </c>
    </row>
    <row r="172" spans="1:18" s="71" customFormat="1" ht="13.5" customHeight="1" x14ac:dyDescent="0.2">
      <c r="A172" s="171"/>
      <c r="B172" s="171"/>
      <c r="C172" s="171"/>
      <c r="D172" s="185" t="s">
        <v>131</v>
      </c>
      <c r="E172" s="181">
        <v>47983</v>
      </c>
      <c r="F172" s="178">
        <v>8.7499999999999994E-2</v>
      </c>
      <c r="G172" s="178">
        <v>7.8700000000000006E-2</v>
      </c>
      <c r="H172" s="178">
        <v>8.5300000000000001E-2</v>
      </c>
      <c r="I172" s="178">
        <v>7.9148499999999997E-2</v>
      </c>
      <c r="J172" s="179">
        <v>7.9399999999999998E-2</v>
      </c>
      <c r="K172" s="186">
        <v>11174400</v>
      </c>
      <c r="L172" s="168">
        <v>7700000</v>
      </c>
      <c r="M172" s="180">
        <f>K172/L172</f>
        <v>1.4512207792207792</v>
      </c>
    </row>
    <row r="173" spans="1:18" s="71" customFormat="1" ht="13.5" customHeight="1" x14ac:dyDescent="0.2">
      <c r="A173" s="248" t="s">
        <v>133</v>
      </c>
      <c r="B173" s="249"/>
      <c r="C173" s="249"/>
      <c r="D173" s="249"/>
      <c r="E173" s="249"/>
      <c r="F173" s="249"/>
      <c r="G173" s="249"/>
      <c r="H173" s="249"/>
      <c r="I173" s="255"/>
      <c r="J173" s="250"/>
      <c r="K173" s="187">
        <f>SUM(K168:K172)</f>
        <v>42328400</v>
      </c>
      <c r="L173" s="187">
        <f>SUM(L168:L172)</f>
        <v>18000000</v>
      </c>
      <c r="M173" s="180"/>
    </row>
    <row r="174" spans="1:18" s="71" customFormat="1" x14ac:dyDescent="0.2">
      <c r="A174" s="177">
        <v>42528</v>
      </c>
      <c r="B174" s="177">
        <v>42535</v>
      </c>
      <c r="C174" s="202" t="s">
        <v>142</v>
      </c>
      <c r="D174" s="176" t="s">
        <v>192</v>
      </c>
      <c r="E174" s="177">
        <v>45091</v>
      </c>
      <c r="F174" s="178">
        <v>2.6249999999999999E-2</v>
      </c>
      <c r="G174" s="195"/>
      <c r="H174" s="195"/>
      <c r="I174" s="271">
        <v>2.7720000000000002E-2</v>
      </c>
      <c r="J174" s="197"/>
      <c r="K174" s="198" t="s">
        <v>194</v>
      </c>
      <c r="L174" s="198" t="s">
        <v>196</v>
      </c>
      <c r="M174" s="168"/>
      <c r="N174" s="189"/>
    </row>
    <row r="175" spans="1:18" s="71" customFormat="1" ht="13.5" customHeight="1" x14ac:dyDescent="0.2">
      <c r="A175" s="199"/>
      <c r="B175" s="199"/>
      <c r="C175" s="199"/>
      <c r="D175" s="176"/>
      <c r="E175" s="177"/>
      <c r="F175" s="178"/>
      <c r="G175" s="195"/>
      <c r="H175" s="195"/>
      <c r="I175" s="200"/>
      <c r="J175" s="201"/>
      <c r="K175" s="168">
        <f>4230*14991.87</f>
        <v>63415610.100000001</v>
      </c>
      <c r="L175" s="168">
        <f>1500*14991.87</f>
        <v>22487805</v>
      </c>
      <c r="M175" s="180">
        <f>K175/L175</f>
        <v>2.8200000000000003</v>
      </c>
      <c r="N175" s="190"/>
      <c r="O175" s="221"/>
    </row>
    <row r="176" spans="1:18" s="71" customFormat="1" ht="13.5" customHeight="1" x14ac:dyDescent="0.2">
      <c r="A176" s="171"/>
      <c r="B176" s="171"/>
      <c r="C176" s="171"/>
      <c r="D176" s="176" t="s">
        <v>193</v>
      </c>
      <c r="E176" s="177">
        <v>46918</v>
      </c>
      <c r="F176" s="178">
        <v>3.7499999999999999E-2</v>
      </c>
      <c r="G176" s="178"/>
      <c r="H176" s="178"/>
      <c r="I176" s="179">
        <v>3.9059999999999997E-2</v>
      </c>
      <c r="J176" s="179"/>
      <c r="K176" s="168" t="s">
        <v>195</v>
      </c>
      <c r="L176" s="168" t="s">
        <v>196</v>
      </c>
      <c r="M176" s="180"/>
      <c r="N176" s="191"/>
      <c r="O176" s="220"/>
      <c r="P176" s="158"/>
      <c r="Q176" s="192"/>
      <c r="R176" s="193"/>
    </row>
    <row r="177" spans="1:23" s="71" customFormat="1" ht="13.5" customHeight="1" x14ac:dyDescent="0.2">
      <c r="A177" s="171"/>
      <c r="B177" s="171"/>
      <c r="C177" s="171"/>
      <c r="D177" s="176"/>
      <c r="E177" s="181"/>
      <c r="F177" s="178"/>
      <c r="G177" s="178"/>
      <c r="H177" s="178"/>
      <c r="I177" s="179"/>
      <c r="J177" s="179"/>
      <c r="K177" s="183">
        <f>4130*14991.87</f>
        <v>61916423.100000001</v>
      </c>
      <c r="L177" s="183">
        <f>1500*14991.87</f>
        <v>22487805</v>
      </c>
      <c r="M177" s="180">
        <f>K177/L177</f>
        <v>2.7533333333333334</v>
      </c>
      <c r="N177" s="191"/>
      <c r="O177" s="221"/>
      <c r="P177" s="158"/>
      <c r="Q177" s="158"/>
      <c r="W177" s="193"/>
    </row>
    <row r="178" spans="1:23" s="71" customFormat="1" ht="13.5" customHeight="1" x14ac:dyDescent="0.2">
      <c r="A178" s="248" t="s">
        <v>133</v>
      </c>
      <c r="B178" s="249"/>
      <c r="C178" s="249"/>
      <c r="D178" s="249"/>
      <c r="E178" s="249"/>
      <c r="F178" s="249"/>
      <c r="G178" s="249"/>
      <c r="H178" s="249"/>
      <c r="I178" s="249"/>
      <c r="J178" s="250"/>
      <c r="K178" s="187">
        <f>K175+K177</f>
        <v>125332033.2</v>
      </c>
      <c r="L178" s="187">
        <f>L175+L177</f>
        <v>44975610</v>
      </c>
      <c r="M178" s="180"/>
    </row>
    <row r="179" spans="1:23" s="71" customFormat="1" ht="13.5" customHeight="1" x14ac:dyDescent="0.2">
      <c r="A179" s="177">
        <v>42535</v>
      </c>
      <c r="B179" s="177">
        <v>42537</v>
      </c>
      <c r="C179" s="177" t="s">
        <v>144</v>
      </c>
      <c r="D179" s="176" t="s">
        <v>188</v>
      </c>
      <c r="E179" s="181">
        <v>42705</v>
      </c>
      <c r="F179" s="182" t="s">
        <v>185</v>
      </c>
      <c r="G179" s="178">
        <v>5.8749999999999997E-2</v>
      </c>
      <c r="H179" s="178">
        <v>0.09</v>
      </c>
      <c r="I179" s="179">
        <v>5.97969E-2</v>
      </c>
      <c r="J179" s="179"/>
      <c r="K179" s="183">
        <v>1236000</v>
      </c>
      <c r="L179" s="184">
        <v>400000</v>
      </c>
      <c r="M179" s="180">
        <f>K179/L179</f>
        <v>3.09</v>
      </c>
    </row>
    <row r="180" spans="1:23" s="71" customFormat="1" ht="13.5" customHeight="1" x14ac:dyDescent="0.2">
      <c r="A180" s="177"/>
      <c r="B180" s="171"/>
      <c r="C180" s="171"/>
      <c r="D180" s="185" t="s">
        <v>128</v>
      </c>
      <c r="E180" s="181">
        <v>43125</v>
      </c>
      <c r="F180" s="178">
        <v>7.7499999999999999E-2</v>
      </c>
      <c r="G180" s="178">
        <v>7.1874999999999994E-2</v>
      </c>
      <c r="H180" s="178">
        <v>7.6249999999999998E-2</v>
      </c>
      <c r="I180" s="179">
        <v>7.3159799999999997E-2</v>
      </c>
      <c r="J180" s="179"/>
      <c r="K180" s="186">
        <v>3400000</v>
      </c>
      <c r="L180" s="186">
        <v>2960000</v>
      </c>
      <c r="M180" s="180">
        <f>K180/L180</f>
        <v>1.1486486486486487</v>
      </c>
    </row>
    <row r="181" spans="1:23" s="71" customFormat="1" ht="13.5" customHeight="1" x14ac:dyDescent="0.2">
      <c r="A181" s="172"/>
      <c r="B181" s="171"/>
      <c r="C181" s="171"/>
      <c r="D181" s="185" t="s">
        <v>127</v>
      </c>
      <c r="E181" s="181">
        <v>44089</v>
      </c>
      <c r="F181" s="178">
        <v>8.2500000000000004E-2</v>
      </c>
      <c r="G181" s="178">
        <v>7.6562500000000006E-2</v>
      </c>
      <c r="H181" s="178">
        <v>7.8437499999999993E-2</v>
      </c>
      <c r="I181" s="179">
        <v>7.6697299999999996E-2</v>
      </c>
      <c r="J181" s="179"/>
      <c r="K181" s="186">
        <v>340000</v>
      </c>
      <c r="L181" s="186">
        <v>115000</v>
      </c>
      <c r="M181" s="180">
        <f>K181/L181</f>
        <v>2.9565217391304346</v>
      </c>
    </row>
    <row r="182" spans="1:23" s="71" customFormat="1" ht="13.5" customHeight="1" x14ac:dyDescent="0.2">
      <c r="A182" s="172"/>
      <c r="B182" s="172"/>
      <c r="C182" s="172"/>
      <c r="D182" s="185" t="s">
        <v>129</v>
      </c>
      <c r="E182" s="181">
        <v>45153</v>
      </c>
      <c r="F182" s="178">
        <v>8.7499999999999994E-2</v>
      </c>
      <c r="G182" s="178">
        <v>7.8750000000000001E-2</v>
      </c>
      <c r="H182" s="178">
        <v>0.08</v>
      </c>
      <c r="I182" s="179">
        <v>0</v>
      </c>
      <c r="J182" s="179"/>
      <c r="K182" s="186">
        <v>107000</v>
      </c>
      <c r="L182" s="186">
        <v>0</v>
      </c>
      <c r="M182" s="180">
        <v>0</v>
      </c>
    </row>
    <row r="183" spans="1:23" s="71" customFormat="1" ht="13.5" customHeight="1" x14ac:dyDescent="0.2">
      <c r="A183" s="171"/>
      <c r="B183" s="171"/>
      <c r="C183" s="171"/>
      <c r="D183" s="185" t="s">
        <v>130</v>
      </c>
      <c r="E183" s="181">
        <v>48167</v>
      </c>
      <c r="F183" s="178">
        <v>8.8749999999999996E-2</v>
      </c>
      <c r="G183" s="178">
        <v>8.1562499999999996E-2</v>
      </c>
      <c r="H183" s="178">
        <v>8.4062499999999998E-2</v>
      </c>
      <c r="I183" s="178">
        <v>8.2098699999999997E-2</v>
      </c>
      <c r="J183" s="179"/>
      <c r="K183" s="186">
        <v>1820000</v>
      </c>
      <c r="L183" s="168">
        <v>1600000</v>
      </c>
      <c r="M183" s="180">
        <f>K183/L183</f>
        <v>1.1375</v>
      </c>
    </row>
    <row r="184" spans="1:23" x14ac:dyDescent="0.2">
      <c r="A184" s="248" t="s">
        <v>133</v>
      </c>
      <c r="B184" s="249"/>
      <c r="C184" s="249"/>
      <c r="D184" s="249"/>
      <c r="E184" s="249"/>
      <c r="F184" s="249"/>
      <c r="G184" s="249"/>
      <c r="H184" s="249"/>
      <c r="I184" s="255"/>
      <c r="J184" s="250"/>
      <c r="K184" s="187">
        <f>SUM(K179:K183)</f>
        <v>6903000</v>
      </c>
      <c r="L184" s="187">
        <f>SUM(L179:L183)</f>
        <v>5075000</v>
      </c>
      <c r="M184" s="180"/>
    </row>
    <row r="185" spans="1:23" s="71" customFormat="1" x14ac:dyDescent="0.2">
      <c r="A185" s="177">
        <v>42536</v>
      </c>
      <c r="B185" s="177">
        <v>42542</v>
      </c>
      <c r="C185" s="202" t="s">
        <v>142</v>
      </c>
      <c r="D185" s="176" t="s">
        <v>197</v>
      </c>
      <c r="E185" s="177">
        <v>43637</v>
      </c>
      <c r="F185" s="178">
        <v>8.3000000000000001E-3</v>
      </c>
      <c r="G185" s="195"/>
      <c r="H185" s="195"/>
      <c r="I185" s="271">
        <v>8.3000000000000001E-3</v>
      </c>
      <c r="J185" s="197"/>
      <c r="K185" s="198" t="s">
        <v>199</v>
      </c>
      <c r="L185" s="198" t="s">
        <v>199</v>
      </c>
      <c r="M185" s="168"/>
      <c r="N185" s="189"/>
    </row>
    <row r="186" spans="1:23" s="71" customFormat="1" ht="13.5" customHeight="1" x14ac:dyDescent="0.2">
      <c r="A186" s="199"/>
      <c r="B186" s="199"/>
      <c r="C186" s="199"/>
      <c r="D186" s="176"/>
      <c r="E186" s="177"/>
      <c r="F186" s="178"/>
      <c r="G186" s="195"/>
      <c r="H186" s="195"/>
      <c r="I186" s="200"/>
      <c r="J186" s="201"/>
      <c r="K186" s="168">
        <f>62000*127.6091</f>
        <v>7911764.2000000002</v>
      </c>
      <c r="L186" s="168">
        <f>62000*127.6091</f>
        <v>7911764.2000000002</v>
      </c>
      <c r="M186" s="180">
        <f>K186/L186</f>
        <v>1</v>
      </c>
      <c r="N186" s="190"/>
      <c r="O186" s="221"/>
    </row>
    <row r="187" spans="1:23" s="71" customFormat="1" ht="13.5" customHeight="1" x14ac:dyDescent="0.2">
      <c r="A187" s="171"/>
      <c r="B187" s="171"/>
      <c r="C187" s="171"/>
      <c r="D187" s="176" t="s">
        <v>198</v>
      </c>
      <c r="E187" s="177">
        <v>44368</v>
      </c>
      <c r="F187" s="178">
        <v>1.1599999999999999E-2</v>
      </c>
      <c r="G187" s="178"/>
      <c r="H187" s="178"/>
      <c r="I187" s="179">
        <v>1.1599999999999999E-2</v>
      </c>
      <c r="J187" s="179"/>
      <c r="K187" s="168" t="s">
        <v>200</v>
      </c>
      <c r="L187" s="168" t="s">
        <v>200</v>
      </c>
      <c r="M187" s="180"/>
      <c r="N187" s="191"/>
      <c r="O187" s="220"/>
      <c r="P187" s="158"/>
      <c r="Q187" s="192"/>
      <c r="R187" s="193"/>
    </row>
    <row r="188" spans="1:23" s="71" customFormat="1" ht="13.5" customHeight="1" x14ac:dyDescent="0.2">
      <c r="A188" s="171"/>
      <c r="B188" s="171"/>
      <c r="C188" s="171"/>
      <c r="D188" s="176"/>
      <c r="E188" s="181"/>
      <c r="F188" s="178"/>
      <c r="G188" s="178"/>
      <c r="H188" s="178"/>
      <c r="I188" s="272"/>
      <c r="J188" s="179"/>
      <c r="K188" s="183">
        <f>38000*127.6091</f>
        <v>4849145.8</v>
      </c>
      <c r="L188" s="183">
        <f>38000*127.6091</f>
        <v>4849145.8</v>
      </c>
      <c r="M188" s="180">
        <f>K188/L188</f>
        <v>1</v>
      </c>
      <c r="N188" s="191"/>
      <c r="O188" s="221"/>
      <c r="P188" s="221"/>
      <c r="Q188" s="158"/>
      <c r="W188" s="193"/>
    </row>
    <row r="189" spans="1:23" s="71" customFormat="1" ht="13.5" customHeight="1" x14ac:dyDescent="0.2">
      <c r="A189" s="248" t="s">
        <v>133</v>
      </c>
      <c r="B189" s="249"/>
      <c r="C189" s="249"/>
      <c r="D189" s="249"/>
      <c r="E189" s="249"/>
      <c r="F189" s="249"/>
      <c r="G189" s="249"/>
      <c r="H189" s="249"/>
      <c r="I189" s="267"/>
      <c r="J189" s="250"/>
      <c r="K189" s="187">
        <f>K186+K188</f>
        <v>12760910</v>
      </c>
      <c r="L189" s="187">
        <f>L186+L188</f>
        <v>12760910</v>
      </c>
      <c r="M189" s="180"/>
      <c r="P189" s="228"/>
    </row>
    <row r="190" spans="1:23" s="71" customFormat="1" ht="13.5" customHeight="1" x14ac:dyDescent="0.2">
      <c r="A190" s="177">
        <v>42542</v>
      </c>
      <c r="B190" s="177">
        <v>42544</v>
      </c>
      <c r="C190" s="177" t="s">
        <v>144</v>
      </c>
      <c r="D190" s="176" t="s">
        <v>163</v>
      </c>
      <c r="E190" s="181">
        <v>42796</v>
      </c>
      <c r="F190" s="182" t="s">
        <v>185</v>
      </c>
      <c r="G190" s="178">
        <v>5.9799999999999999E-2</v>
      </c>
      <c r="H190" s="178">
        <v>6.5000000000000002E-2</v>
      </c>
      <c r="I190" s="179">
        <v>6.0057899999999997E-2</v>
      </c>
      <c r="J190" s="179">
        <v>6.0499999999999998E-2</v>
      </c>
      <c r="K190" s="183">
        <v>1400000</v>
      </c>
      <c r="L190" s="184">
        <v>950000</v>
      </c>
      <c r="M190" s="180">
        <f>K190/L190</f>
        <v>1.4736842105263157</v>
      </c>
    </row>
    <row r="191" spans="1:23" s="71" customFormat="1" ht="13.5" customHeight="1" x14ac:dyDescent="0.2">
      <c r="A191" s="177"/>
      <c r="B191" s="171"/>
      <c r="C191" s="171"/>
      <c r="D191" s="185" t="s">
        <v>121</v>
      </c>
      <c r="E191" s="181">
        <v>44392</v>
      </c>
      <c r="F191" s="178">
        <v>8.2500000000000004E-2</v>
      </c>
      <c r="G191" s="178">
        <v>7.4300000000000005E-2</v>
      </c>
      <c r="H191" s="178">
        <v>7.5499999999999998E-2</v>
      </c>
      <c r="I191" s="179">
        <v>7.4698100000000003E-2</v>
      </c>
      <c r="J191" s="179">
        <v>7.51E-2</v>
      </c>
      <c r="K191" s="186">
        <v>5435000</v>
      </c>
      <c r="L191" s="186">
        <v>4600000</v>
      </c>
      <c r="M191" s="180">
        <f>K191/L191</f>
        <v>1.1815217391304347</v>
      </c>
    </row>
    <row r="192" spans="1:23" s="71" customFormat="1" ht="13.5" customHeight="1" x14ac:dyDescent="0.2">
      <c r="A192" s="172"/>
      <c r="B192" s="171"/>
      <c r="C192" s="171"/>
      <c r="D192" s="185" t="s">
        <v>131</v>
      </c>
      <c r="E192" s="181">
        <v>47983</v>
      </c>
      <c r="F192" s="178">
        <v>8.7499999999999994E-2</v>
      </c>
      <c r="G192" s="178">
        <v>7.8600000000000003E-2</v>
      </c>
      <c r="H192" s="178">
        <v>7.9899999999999999E-2</v>
      </c>
      <c r="I192" s="179">
        <v>7.9095299999999993E-2</v>
      </c>
      <c r="J192" s="179">
        <v>7.9399999999999998E-2</v>
      </c>
      <c r="K192" s="186">
        <v>6059500</v>
      </c>
      <c r="L192" s="186">
        <v>5350000</v>
      </c>
      <c r="M192" s="180">
        <f>K192/L192</f>
        <v>1.1326168224299065</v>
      </c>
      <c r="O192" s="192"/>
    </row>
    <row r="193" spans="1:16" s="71" customFormat="1" ht="13.5" customHeight="1" x14ac:dyDescent="0.2">
      <c r="A193" s="172"/>
      <c r="B193" s="172"/>
      <c r="C193" s="172"/>
      <c r="D193" s="185" t="s">
        <v>124</v>
      </c>
      <c r="E193" s="181">
        <v>49810</v>
      </c>
      <c r="F193" s="178">
        <v>8.2500000000000004E-2</v>
      </c>
      <c r="G193" s="178">
        <v>7.8600000000000003E-2</v>
      </c>
      <c r="H193" s="178">
        <v>8.0500000000000002E-2</v>
      </c>
      <c r="I193" s="179">
        <v>7.91964E-2</v>
      </c>
      <c r="J193" s="179">
        <v>7.9399999999999998E-2</v>
      </c>
      <c r="K193" s="186">
        <v>4639600</v>
      </c>
      <c r="L193" s="186">
        <v>2000000</v>
      </c>
      <c r="M193" s="180">
        <f>K193/L193</f>
        <v>2.3197999999999999</v>
      </c>
      <c r="O193" s="192"/>
    </row>
    <row r="194" spans="1:16" s="71" customFormat="1" ht="13.5" customHeight="1" x14ac:dyDescent="0.2">
      <c r="A194" s="248" t="s">
        <v>133</v>
      </c>
      <c r="B194" s="249"/>
      <c r="C194" s="249"/>
      <c r="D194" s="249"/>
      <c r="E194" s="249"/>
      <c r="F194" s="249"/>
      <c r="G194" s="249"/>
      <c r="H194" s="249"/>
      <c r="I194" s="255"/>
      <c r="J194" s="250"/>
      <c r="K194" s="187">
        <f>SUM(K190:K193)</f>
        <v>17534100</v>
      </c>
      <c r="L194" s="187">
        <f>SUM(L190:L193)</f>
        <v>12900000</v>
      </c>
      <c r="M194" s="180"/>
      <c r="O194" s="158"/>
      <c r="P194" s="227"/>
    </row>
    <row r="195" spans="1:16" s="71" customFormat="1" x14ac:dyDescent="0.2">
      <c r="A195" s="177">
        <v>42541</v>
      </c>
      <c r="B195" s="177">
        <v>42545</v>
      </c>
      <c r="C195" s="202" t="s">
        <v>143</v>
      </c>
      <c r="D195" s="176" t="s">
        <v>201</v>
      </c>
      <c r="E195" s="177">
        <v>46197</v>
      </c>
      <c r="F195" s="178">
        <v>4.0500000000000001E-2</v>
      </c>
      <c r="G195" s="195"/>
      <c r="H195" s="195"/>
      <c r="I195" s="271">
        <v>4.0500000000000001E-2</v>
      </c>
      <c r="J195" s="197"/>
      <c r="K195" s="198" t="s">
        <v>202</v>
      </c>
      <c r="L195" s="198" t="s">
        <v>202</v>
      </c>
      <c r="M195" s="168"/>
      <c r="N195" s="189"/>
    </row>
    <row r="196" spans="1:16" s="71" customFormat="1" x14ac:dyDescent="0.2">
      <c r="A196" s="199"/>
      <c r="B196" s="199"/>
      <c r="C196" s="199"/>
      <c r="D196" s="176"/>
      <c r="E196" s="177"/>
      <c r="F196" s="178"/>
      <c r="G196" s="195"/>
      <c r="H196" s="195"/>
      <c r="I196" s="200"/>
      <c r="J196" s="201"/>
      <c r="K196" s="168">
        <f>200*13296</f>
        <v>2659200</v>
      </c>
      <c r="L196" s="168">
        <f>200*13296</f>
        <v>2659200</v>
      </c>
      <c r="M196" s="180">
        <f>K196/L196</f>
        <v>1</v>
      </c>
      <c r="N196" s="190"/>
      <c r="O196" s="221"/>
    </row>
    <row r="197" spans="1:16" s="71" customFormat="1" ht="13.5" customHeight="1" x14ac:dyDescent="0.2">
      <c r="A197" s="248" t="s">
        <v>133</v>
      </c>
      <c r="B197" s="249"/>
      <c r="C197" s="249"/>
      <c r="D197" s="249"/>
      <c r="E197" s="249"/>
      <c r="F197" s="249"/>
      <c r="G197" s="249"/>
      <c r="H197" s="249"/>
      <c r="I197" s="249"/>
      <c r="J197" s="250"/>
      <c r="K197" s="187">
        <f>K196</f>
        <v>2659200</v>
      </c>
      <c r="L197" s="187">
        <f>L196</f>
        <v>2659200</v>
      </c>
      <c r="M197" s="180"/>
    </row>
    <row r="198" spans="1:16" s="71" customFormat="1" ht="13.5" customHeight="1" x14ac:dyDescent="0.2">
      <c r="A198" s="177">
        <v>42549</v>
      </c>
      <c r="B198" s="177">
        <v>42551</v>
      </c>
      <c r="C198" s="177" t="s">
        <v>144</v>
      </c>
      <c r="D198" s="176" t="s">
        <v>191</v>
      </c>
      <c r="E198" s="181">
        <v>42733</v>
      </c>
      <c r="F198" s="182" t="s">
        <v>185</v>
      </c>
      <c r="G198" s="178">
        <v>6.0624999999999998E-2</v>
      </c>
      <c r="H198" s="178">
        <v>7.0000000000000007E-2</v>
      </c>
      <c r="I198" s="179">
        <v>0</v>
      </c>
      <c r="J198" s="179"/>
      <c r="K198" s="223">
        <v>1191000</v>
      </c>
      <c r="L198" s="226">
        <v>0</v>
      </c>
      <c r="M198" s="180"/>
    </row>
    <row r="199" spans="1:16" x14ac:dyDescent="0.2">
      <c r="A199" s="177"/>
      <c r="B199" s="171"/>
      <c r="C199" s="171"/>
      <c r="D199" s="185" t="s">
        <v>128</v>
      </c>
      <c r="E199" s="181">
        <v>43125</v>
      </c>
      <c r="F199" s="178">
        <v>7.7499999999999999E-2</v>
      </c>
      <c r="G199" s="178">
        <v>7.3124999999999996E-2</v>
      </c>
      <c r="H199" s="178">
        <v>7.5624999999999998E-2</v>
      </c>
      <c r="I199" s="179">
        <v>7.3598300000000005E-2</v>
      </c>
      <c r="J199" s="179"/>
      <c r="K199" s="224">
        <v>2445000</v>
      </c>
      <c r="L199" s="224">
        <v>1040000</v>
      </c>
      <c r="M199" s="180">
        <f t="shared" ref="M199:M202" si="0">K199/L199</f>
        <v>2.3509615384615383</v>
      </c>
    </row>
    <row r="200" spans="1:16" x14ac:dyDescent="0.2">
      <c r="A200" s="172"/>
      <c r="B200" s="171"/>
      <c r="C200" s="171"/>
      <c r="D200" s="185" t="s">
        <v>127</v>
      </c>
      <c r="E200" s="181">
        <v>44089</v>
      </c>
      <c r="F200" s="178">
        <v>8.2500000000000004E-2</v>
      </c>
      <c r="G200" s="178">
        <v>7.6874999999999999E-2</v>
      </c>
      <c r="H200" s="178">
        <v>7.8125E-2</v>
      </c>
      <c r="I200" s="179">
        <v>7.7560299999999999E-2</v>
      </c>
      <c r="J200" s="179"/>
      <c r="K200" s="224">
        <v>1901000</v>
      </c>
      <c r="L200" s="224">
        <v>1901000</v>
      </c>
      <c r="M200" s="180">
        <f t="shared" si="0"/>
        <v>1</v>
      </c>
    </row>
    <row r="201" spans="1:16" x14ac:dyDescent="0.2">
      <c r="A201" s="172"/>
      <c r="B201" s="172"/>
      <c r="C201" s="172"/>
      <c r="D201" s="185" t="s">
        <v>129</v>
      </c>
      <c r="E201" s="181">
        <v>45153</v>
      </c>
      <c r="F201" s="178">
        <v>8.7499999999999994E-2</v>
      </c>
      <c r="G201" s="178">
        <v>7.8437499999999993E-2</v>
      </c>
      <c r="H201" s="178">
        <v>8.0312499999999995E-2</v>
      </c>
      <c r="I201" s="179">
        <v>0</v>
      </c>
      <c r="J201" s="179"/>
      <c r="K201" s="224">
        <v>135300</v>
      </c>
      <c r="L201" s="224">
        <v>0</v>
      </c>
      <c r="M201" s="180"/>
    </row>
    <row r="202" spans="1:16" x14ac:dyDescent="0.2">
      <c r="A202" s="171"/>
      <c r="B202" s="171"/>
      <c r="C202" s="171"/>
      <c r="D202" s="185" t="s">
        <v>130</v>
      </c>
      <c r="E202" s="181">
        <v>48167</v>
      </c>
      <c r="F202" s="178">
        <v>8.8749999999999996E-2</v>
      </c>
      <c r="G202" s="178">
        <v>8.1875000000000003E-2</v>
      </c>
      <c r="H202" s="178">
        <v>0.1</v>
      </c>
      <c r="I202" s="178">
        <v>8.2609000000000002E-2</v>
      </c>
      <c r="J202" s="179"/>
      <c r="K202" s="224">
        <v>2130500</v>
      </c>
      <c r="L202" s="224">
        <v>2070000</v>
      </c>
      <c r="M202" s="180">
        <f t="shared" si="0"/>
        <v>1.0292270531400967</v>
      </c>
    </row>
    <row r="203" spans="1:16" x14ac:dyDescent="0.2">
      <c r="A203" s="257" t="s">
        <v>133</v>
      </c>
      <c r="B203" s="258"/>
      <c r="C203" s="258"/>
      <c r="D203" s="258"/>
      <c r="E203" s="258"/>
      <c r="F203" s="258"/>
      <c r="G203" s="258"/>
      <c r="H203" s="258"/>
      <c r="I203" s="258"/>
      <c r="J203" s="259"/>
      <c r="K203" s="225">
        <f>SUM(K198:K202)</f>
        <v>7802800</v>
      </c>
      <c r="L203" s="225">
        <f>SUM(L198:L202)</f>
        <v>5011000</v>
      </c>
      <c r="M203" s="222"/>
    </row>
    <row r="204" spans="1:16" x14ac:dyDescent="0.2">
      <c r="A204" s="251" t="s">
        <v>203</v>
      </c>
      <c r="B204" s="252"/>
      <c r="C204" s="252"/>
      <c r="D204" s="252"/>
      <c r="E204" s="252"/>
      <c r="F204" s="252"/>
      <c r="G204" s="252"/>
      <c r="H204" s="252"/>
      <c r="I204" s="252"/>
      <c r="J204" s="253"/>
      <c r="K204" s="175">
        <f>SUM(K161,K167, K173,K178,K184,K189,K194,K197,K203)</f>
        <v>847949652.20000005</v>
      </c>
      <c r="L204" s="175">
        <f>SUM(L161,L167, L173,L178,L184,L189,L194,L197,L203)</f>
        <v>446746171</v>
      </c>
      <c r="M204" s="169"/>
    </row>
    <row r="205" spans="1:16" x14ac:dyDescent="0.2">
      <c r="A205" s="177">
        <v>42552</v>
      </c>
      <c r="B205" s="177">
        <v>42552</v>
      </c>
      <c r="C205" s="219" t="s">
        <v>143</v>
      </c>
      <c r="D205" s="176" t="s">
        <v>219</v>
      </c>
      <c r="E205" s="181">
        <v>42643</v>
      </c>
      <c r="F205" s="178" t="s">
        <v>185</v>
      </c>
      <c r="G205" s="178"/>
      <c r="H205" s="178"/>
      <c r="I205" s="179"/>
      <c r="J205" s="179"/>
      <c r="K205" s="187">
        <v>211767</v>
      </c>
      <c r="L205" s="187">
        <v>211767</v>
      </c>
      <c r="M205" s="180">
        <f>K205/L205</f>
        <v>1</v>
      </c>
    </row>
    <row r="206" spans="1:16" x14ac:dyDescent="0.2">
      <c r="A206" s="248" t="s">
        <v>133</v>
      </c>
      <c r="B206" s="249"/>
      <c r="C206" s="249"/>
      <c r="D206" s="249"/>
      <c r="E206" s="249"/>
      <c r="F206" s="249"/>
      <c r="G206" s="249"/>
      <c r="H206" s="249"/>
      <c r="I206" s="249"/>
      <c r="J206" s="250"/>
      <c r="K206" s="237">
        <f>K205</f>
        <v>211767</v>
      </c>
      <c r="L206" s="237">
        <f>L205</f>
        <v>211767</v>
      </c>
      <c r="M206" s="180"/>
    </row>
    <row r="207" spans="1:16" x14ac:dyDescent="0.2">
      <c r="A207" s="177">
        <v>42551</v>
      </c>
      <c r="B207" s="177">
        <v>42564</v>
      </c>
      <c r="C207" s="219" t="s">
        <v>143</v>
      </c>
      <c r="D207" s="176" t="s">
        <v>204</v>
      </c>
      <c r="E207" s="181">
        <v>42655</v>
      </c>
      <c r="F207" s="238" t="s">
        <v>185</v>
      </c>
      <c r="G207" s="178"/>
      <c r="H207" s="178"/>
      <c r="I207" s="179"/>
      <c r="J207" s="179"/>
      <c r="K207" s="240">
        <v>2535030</v>
      </c>
      <c r="L207" s="240">
        <v>2535030</v>
      </c>
      <c r="M207" s="180">
        <f>K207/L207</f>
        <v>1</v>
      </c>
    </row>
    <row r="208" spans="1:16" x14ac:dyDescent="0.2">
      <c r="A208" s="254" t="s">
        <v>133</v>
      </c>
      <c r="B208" s="255"/>
      <c r="C208" s="255"/>
      <c r="D208" s="255"/>
      <c r="E208" s="255"/>
      <c r="F208" s="255"/>
      <c r="G208" s="255"/>
      <c r="H208" s="255"/>
      <c r="I208" s="255"/>
      <c r="J208" s="256"/>
      <c r="K208" s="229">
        <f>K207</f>
        <v>2535030</v>
      </c>
      <c r="L208" s="229">
        <f>L207</f>
        <v>2535030</v>
      </c>
      <c r="M208" s="180"/>
    </row>
    <row r="209" spans="1:13" s="71" customFormat="1" ht="13.5" customHeight="1" x14ac:dyDescent="0.2">
      <c r="A209" s="230">
        <v>42565</v>
      </c>
      <c r="B209" s="230">
        <v>42569</v>
      </c>
      <c r="C209" s="231" t="s">
        <v>143</v>
      </c>
      <c r="D209" s="232" t="s">
        <v>167</v>
      </c>
      <c r="E209" s="233">
        <v>52642</v>
      </c>
      <c r="F209" s="234">
        <v>8.7499999999999994E-2</v>
      </c>
      <c r="G209" s="234"/>
      <c r="H209" s="234"/>
      <c r="I209" s="235">
        <v>7.85E-2</v>
      </c>
      <c r="J209" s="235"/>
      <c r="K209" s="236">
        <v>1318284</v>
      </c>
      <c r="L209" s="236">
        <v>1318284</v>
      </c>
      <c r="M209" s="180">
        <v>1</v>
      </c>
    </row>
    <row r="210" spans="1:13" x14ac:dyDescent="0.2">
      <c r="A210" s="177"/>
      <c r="B210" s="171"/>
      <c r="C210" s="171"/>
      <c r="D210" s="185" t="s">
        <v>205</v>
      </c>
      <c r="E210" s="181">
        <v>51636</v>
      </c>
      <c r="F210" s="178">
        <v>9.5000000000000001E-2</v>
      </c>
      <c r="G210" s="178"/>
      <c r="H210" s="178"/>
      <c r="I210" s="179">
        <v>7.6499999999999999E-2</v>
      </c>
      <c r="J210" s="179"/>
      <c r="K210" s="224">
        <v>3686573</v>
      </c>
      <c r="L210" s="224">
        <v>3686573</v>
      </c>
      <c r="M210" s="180">
        <f t="shared" ref="M210:M211" si="1">K210/L210</f>
        <v>1</v>
      </c>
    </row>
    <row r="211" spans="1:13" x14ac:dyDescent="0.2">
      <c r="A211" s="172"/>
      <c r="B211" s="171"/>
      <c r="C211" s="171"/>
      <c r="D211" s="185" t="s">
        <v>206</v>
      </c>
      <c r="E211" s="181">
        <v>50175</v>
      </c>
      <c r="F211" s="178">
        <v>9.7500000000000003E-2</v>
      </c>
      <c r="G211" s="178"/>
      <c r="H211" s="178"/>
      <c r="I211" s="179">
        <v>7.5999999999999998E-2</v>
      </c>
      <c r="J211" s="179"/>
      <c r="K211" s="224">
        <v>3226304</v>
      </c>
      <c r="L211" s="224">
        <v>3226304</v>
      </c>
      <c r="M211" s="180">
        <f t="shared" si="1"/>
        <v>1</v>
      </c>
    </row>
    <row r="212" spans="1:13" x14ac:dyDescent="0.2">
      <c r="A212" s="172"/>
      <c r="B212" s="172"/>
      <c r="C212" s="172"/>
      <c r="D212" s="185" t="s">
        <v>207</v>
      </c>
      <c r="E212" s="181">
        <v>47192</v>
      </c>
      <c r="F212" s="178">
        <v>0.09</v>
      </c>
      <c r="G212" s="178"/>
      <c r="H212" s="178"/>
      <c r="I212" s="179">
        <v>7.3599999999999999E-2</v>
      </c>
      <c r="J212" s="179"/>
      <c r="K212" s="224">
        <v>1288682</v>
      </c>
      <c r="L212" s="224">
        <v>1288682</v>
      </c>
      <c r="M212" s="180">
        <v>1</v>
      </c>
    </row>
    <row r="213" spans="1:13" x14ac:dyDescent="0.2">
      <c r="A213" s="171"/>
      <c r="B213" s="171"/>
      <c r="C213" s="171"/>
      <c r="D213" s="185" t="s">
        <v>134</v>
      </c>
      <c r="E213" s="181">
        <v>45366</v>
      </c>
      <c r="F213" s="178">
        <v>8.3750000000000005E-2</v>
      </c>
      <c r="G213" s="178"/>
      <c r="H213" s="178"/>
      <c r="I213" s="178">
        <v>7.1099999999999997E-2</v>
      </c>
      <c r="J213" s="179"/>
      <c r="K213" s="224">
        <v>907421</v>
      </c>
      <c r="L213" s="224">
        <v>907421</v>
      </c>
      <c r="M213" s="180">
        <f t="shared" ref="M213" si="2">K213/L213</f>
        <v>1</v>
      </c>
    </row>
    <row r="214" spans="1:13" x14ac:dyDescent="0.2">
      <c r="A214" s="248" t="s">
        <v>133</v>
      </c>
      <c r="B214" s="249"/>
      <c r="C214" s="249"/>
      <c r="D214" s="249"/>
      <c r="E214" s="249"/>
      <c r="F214" s="249"/>
      <c r="G214" s="249"/>
      <c r="H214" s="249"/>
      <c r="I214" s="249"/>
      <c r="J214" s="250"/>
      <c r="K214" s="237">
        <f>SUM(K209:K213)</f>
        <v>10427264</v>
      </c>
      <c r="L214" s="237">
        <f>SUM(L209:L213)</f>
        <v>10427264</v>
      </c>
      <c r="M214" s="180"/>
    </row>
    <row r="215" spans="1:13" s="71" customFormat="1" ht="13.5" customHeight="1" x14ac:dyDescent="0.2">
      <c r="A215" s="177">
        <v>42570</v>
      </c>
      <c r="B215" s="177">
        <v>42572</v>
      </c>
      <c r="C215" s="177" t="s">
        <v>144</v>
      </c>
      <c r="D215" s="176" t="s">
        <v>208</v>
      </c>
      <c r="E215" s="181">
        <v>42663</v>
      </c>
      <c r="F215" s="182" t="s">
        <v>185</v>
      </c>
      <c r="G215" s="178">
        <v>5.1999999999999998E-2</v>
      </c>
      <c r="H215" s="178">
        <v>5.7000000000000002E-2</v>
      </c>
      <c r="I215" s="179">
        <v>5.3446500000000001E-2</v>
      </c>
      <c r="J215" s="179">
        <v>5.4600000000000003E-2</v>
      </c>
      <c r="K215" s="183">
        <v>4130000</v>
      </c>
      <c r="L215" s="184">
        <v>2000000</v>
      </c>
      <c r="M215" s="180">
        <f>K215/L215</f>
        <v>2.0649999999999999</v>
      </c>
    </row>
    <row r="216" spans="1:13" s="71" customFormat="1" ht="13.5" customHeight="1" x14ac:dyDescent="0.2">
      <c r="A216" s="177"/>
      <c r="B216" s="171"/>
      <c r="C216" s="171"/>
      <c r="D216" s="185" t="s">
        <v>209</v>
      </c>
      <c r="E216" s="181">
        <v>42936</v>
      </c>
      <c r="F216" s="178" t="s">
        <v>185</v>
      </c>
      <c r="G216" s="178">
        <v>6.0499999999999998E-2</v>
      </c>
      <c r="H216" s="178">
        <v>6.5000000000000002E-2</v>
      </c>
      <c r="I216" s="179">
        <v>6.1461500000000002E-2</v>
      </c>
      <c r="J216" s="179">
        <v>6.2E-2</v>
      </c>
      <c r="K216" s="186">
        <v>3385000</v>
      </c>
      <c r="L216" s="186">
        <v>2000000</v>
      </c>
      <c r="M216" s="180">
        <f>K216/L216</f>
        <v>1.6924999999999999</v>
      </c>
    </row>
    <row r="217" spans="1:13" s="71" customFormat="1" ht="13.5" customHeight="1" x14ac:dyDescent="0.2">
      <c r="A217" s="172"/>
      <c r="B217" s="171"/>
      <c r="C217" s="171"/>
      <c r="D217" s="185" t="s">
        <v>121</v>
      </c>
      <c r="E217" s="181">
        <v>44392</v>
      </c>
      <c r="F217" s="178">
        <v>8.2500000000000004E-2</v>
      </c>
      <c r="G217" s="178">
        <v>6.83E-2</v>
      </c>
      <c r="H217" s="178">
        <v>0.08</v>
      </c>
      <c r="I217" s="179">
        <v>6.8535399999999996E-2</v>
      </c>
      <c r="J217" s="179">
        <v>6.88E-2</v>
      </c>
      <c r="K217" s="186">
        <v>20474000</v>
      </c>
      <c r="L217" s="186">
        <v>4050000</v>
      </c>
      <c r="M217" s="180">
        <f>K217/L217</f>
        <v>5.0553086419753086</v>
      </c>
    </row>
    <row r="218" spans="1:13" s="71" customFormat="1" ht="13.5" customHeight="1" x14ac:dyDescent="0.2">
      <c r="A218" s="172"/>
      <c r="B218" s="172"/>
      <c r="C218" s="172"/>
      <c r="D218" s="185" t="s">
        <v>123</v>
      </c>
      <c r="E218" s="181">
        <v>46280</v>
      </c>
      <c r="F218" s="178">
        <v>8.3750000000000005E-2</v>
      </c>
      <c r="G218" s="178">
        <v>7.0300000000000001E-2</v>
      </c>
      <c r="H218" s="178">
        <v>0.08</v>
      </c>
      <c r="I218" s="179">
        <v>7.08588E-2</v>
      </c>
      <c r="J218" s="179">
        <v>7.0999999999999994E-2</v>
      </c>
      <c r="K218" s="186">
        <v>11975000</v>
      </c>
      <c r="L218" s="186">
        <v>4250000</v>
      </c>
      <c r="M218" s="180">
        <f>K218/L218</f>
        <v>2.8176470588235296</v>
      </c>
    </row>
    <row r="219" spans="1:13" s="71" customFormat="1" ht="13.5" customHeight="1" x14ac:dyDescent="0.2">
      <c r="A219" s="171"/>
      <c r="B219" s="171"/>
      <c r="C219" s="171"/>
      <c r="D219" s="185" t="s">
        <v>124</v>
      </c>
      <c r="E219" s="181">
        <v>49810</v>
      </c>
      <c r="F219" s="178">
        <v>8.2500000000000004E-2</v>
      </c>
      <c r="G219" s="178">
        <v>7.4399999999999994E-2</v>
      </c>
      <c r="H219" s="178">
        <v>0.08</v>
      </c>
      <c r="I219" s="178">
        <v>7.4799299999999999E-2</v>
      </c>
      <c r="J219" s="179">
        <v>7.4999999999999997E-2</v>
      </c>
      <c r="K219" s="186">
        <v>6886500</v>
      </c>
      <c r="L219" s="168">
        <v>5700000</v>
      </c>
      <c r="M219" s="180">
        <f>K219/L219</f>
        <v>1.2081578947368421</v>
      </c>
    </row>
    <row r="220" spans="1:13" s="71" customFormat="1" ht="13.5" customHeight="1" x14ac:dyDescent="0.2">
      <c r="A220" s="248" t="s">
        <v>133</v>
      </c>
      <c r="B220" s="249"/>
      <c r="C220" s="249"/>
      <c r="D220" s="249"/>
      <c r="E220" s="249"/>
      <c r="F220" s="249"/>
      <c r="G220" s="249"/>
      <c r="H220" s="249"/>
      <c r="I220" s="249"/>
      <c r="J220" s="250"/>
      <c r="K220" s="187">
        <f>SUM(K215:K219)</f>
        <v>46850500</v>
      </c>
      <c r="L220" s="187">
        <f>SUM(L215:L219)</f>
        <v>18000000</v>
      </c>
      <c r="M220" s="180"/>
    </row>
    <row r="221" spans="1:13" x14ac:dyDescent="0.2">
      <c r="A221" s="177">
        <v>42577</v>
      </c>
      <c r="B221" s="177">
        <v>42579</v>
      </c>
      <c r="C221" s="177" t="s">
        <v>144</v>
      </c>
      <c r="D221" s="176" t="s">
        <v>210</v>
      </c>
      <c r="E221" s="181">
        <v>42762</v>
      </c>
      <c r="F221" s="182" t="s">
        <v>185</v>
      </c>
      <c r="G221" s="178">
        <v>5.8437500000000003E-2</v>
      </c>
      <c r="H221" s="178">
        <v>7.0000000000000007E-2</v>
      </c>
      <c r="I221" s="179">
        <v>6.1053099999999999E-2</v>
      </c>
      <c r="J221" s="179"/>
      <c r="K221" s="223">
        <v>1152000</v>
      </c>
      <c r="L221" s="226">
        <v>200000</v>
      </c>
      <c r="M221" s="180">
        <f t="shared" ref="M221:M224" si="3">K221/L221</f>
        <v>5.76</v>
      </c>
    </row>
    <row r="222" spans="1:13" x14ac:dyDescent="0.2">
      <c r="A222" s="177"/>
      <c r="B222" s="171"/>
      <c r="C222" s="171"/>
      <c r="D222" s="185" t="s">
        <v>128</v>
      </c>
      <c r="E222" s="181">
        <v>43125</v>
      </c>
      <c r="F222" s="178">
        <v>7.7499999999999999E-2</v>
      </c>
      <c r="G222" s="178">
        <v>6.6250000000000003E-2</v>
      </c>
      <c r="H222" s="178">
        <v>7.5624999999999998E-2</v>
      </c>
      <c r="I222" s="179">
        <v>6.6406099999999996E-2</v>
      </c>
      <c r="J222" s="179"/>
      <c r="K222" s="224">
        <v>6803500</v>
      </c>
      <c r="L222" s="224">
        <v>2000000</v>
      </c>
      <c r="M222" s="180">
        <f t="shared" si="3"/>
        <v>3.4017499999999998</v>
      </c>
    </row>
    <row r="223" spans="1:13" x14ac:dyDescent="0.2">
      <c r="A223" s="172"/>
      <c r="B223" s="171"/>
      <c r="C223" s="171"/>
      <c r="D223" s="185" t="s">
        <v>127</v>
      </c>
      <c r="E223" s="181">
        <v>44089</v>
      </c>
      <c r="F223" s="178">
        <v>8.2500000000000004E-2</v>
      </c>
      <c r="G223" s="178">
        <v>7.0000000000000007E-2</v>
      </c>
      <c r="H223" s="178">
        <v>7.4062500000000003E-2</v>
      </c>
      <c r="I223" s="179">
        <v>7.0311899999999997E-2</v>
      </c>
      <c r="J223" s="179"/>
      <c r="K223" s="224">
        <v>8244500</v>
      </c>
      <c r="L223" s="224">
        <v>3000000</v>
      </c>
      <c r="M223" s="180">
        <f t="shared" si="3"/>
        <v>2.7481666666666666</v>
      </c>
    </row>
    <row r="224" spans="1:13" x14ac:dyDescent="0.2">
      <c r="A224" s="172"/>
      <c r="B224" s="172"/>
      <c r="C224" s="172"/>
      <c r="D224" s="185" t="s">
        <v>129</v>
      </c>
      <c r="E224" s="181">
        <v>45153</v>
      </c>
      <c r="F224" s="178">
        <v>8.7499999999999994E-2</v>
      </c>
      <c r="G224" s="178">
        <v>7.4062500000000003E-2</v>
      </c>
      <c r="H224" s="178">
        <v>8.2500000000000004E-2</v>
      </c>
      <c r="I224" s="179">
        <v>7.4285699999999996E-2</v>
      </c>
      <c r="J224" s="179"/>
      <c r="K224" s="224">
        <v>1080000</v>
      </c>
      <c r="L224" s="224">
        <v>220000</v>
      </c>
      <c r="M224" s="180">
        <f t="shared" si="3"/>
        <v>4.9090909090909092</v>
      </c>
    </row>
    <row r="225" spans="1:13" x14ac:dyDescent="0.2">
      <c r="A225" s="171"/>
      <c r="B225" s="171"/>
      <c r="C225" s="171"/>
      <c r="D225" s="185" t="s">
        <v>130</v>
      </c>
      <c r="E225" s="181">
        <v>48167</v>
      </c>
      <c r="F225" s="178">
        <v>8.8749999999999996E-2</v>
      </c>
      <c r="G225" s="178">
        <v>7.7187500000000006E-2</v>
      </c>
      <c r="H225" s="178">
        <v>8.1562499999999996E-2</v>
      </c>
      <c r="I225" s="178">
        <v>0</v>
      </c>
      <c r="J225" s="179"/>
      <c r="K225" s="224">
        <v>4079500</v>
      </c>
      <c r="L225" s="224">
        <v>0</v>
      </c>
      <c r="M225" s="180"/>
    </row>
    <row r="226" spans="1:13" s="71" customFormat="1" ht="13.5" customHeight="1" x14ac:dyDescent="0.2">
      <c r="A226" s="248" t="s">
        <v>133</v>
      </c>
      <c r="B226" s="249"/>
      <c r="C226" s="249"/>
      <c r="D226" s="249"/>
      <c r="E226" s="249"/>
      <c r="F226" s="249"/>
      <c r="G226" s="249"/>
      <c r="H226" s="249"/>
      <c r="I226" s="249"/>
      <c r="J226" s="250"/>
      <c r="K226" s="187">
        <f>SUM(K221:K225)</f>
        <v>21359500</v>
      </c>
      <c r="L226" s="187">
        <f>SUM(L221:L225)</f>
        <v>5420000</v>
      </c>
      <c r="M226" s="180"/>
    </row>
    <row r="227" spans="1:13" x14ac:dyDescent="0.2">
      <c r="A227" s="251" t="s">
        <v>213</v>
      </c>
      <c r="B227" s="252"/>
      <c r="C227" s="252"/>
      <c r="D227" s="252"/>
      <c r="E227" s="252"/>
      <c r="F227" s="252"/>
      <c r="G227" s="252"/>
      <c r="H227" s="252"/>
      <c r="I227" s="252"/>
      <c r="J227" s="253"/>
      <c r="K227" s="175">
        <f>SUM(K204,K206, K208,K214,K220,K226)</f>
        <v>929333713.20000005</v>
      </c>
      <c r="L227" s="175">
        <f>SUM(L204,L206, L208,L214,L220,L226)</f>
        <v>483340232</v>
      </c>
      <c r="M227" s="169"/>
    </row>
    <row r="228" spans="1:13" s="71" customFormat="1" ht="13.5" customHeight="1" x14ac:dyDescent="0.2">
      <c r="A228" s="177">
        <v>42584</v>
      </c>
      <c r="B228" s="177">
        <v>42586</v>
      </c>
      <c r="C228" s="177" t="s">
        <v>144</v>
      </c>
      <c r="D228" s="176" t="s">
        <v>211</v>
      </c>
      <c r="E228" s="181">
        <v>42678</v>
      </c>
      <c r="F228" s="182" t="s">
        <v>185</v>
      </c>
      <c r="G228" s="178">
        <v>5.2499999999999998E-2</v>
      </c>
      <c r="H228" s="178">
        <v>6.25E-2</v>
      </c>
      <c r="I228" s="179">
        <v>5.3472499999999999E-2</v>
      </c>
      <c r="J228" s="179">
        <v>5.3999999999999999E-2</v>
      </c>
      <c r="K228" s="183">
        <v>3451000</v>
      </c>
      <c r="L228" s="184">
        <v>2000000</v>
      </c>
      <c r="M228" s="180">
        <f>K228/L228</f>
        <v>1.7255</v>
      </c>
    </row>
    <row r="229" spans="1:13" s="71" customFormat="1" ht="13.5" customHeight="1" x14ac:dyDescent="0.2">
      <c r="A229" s="177"/>
      <c r="B229" s="171"/>
      <c r="C229" s="171"/>
      <c r="D229" s="185" t="s">
        <v>212</v>
      </c>
      <c r="E229" s="181">
        <v>42951</v>
      </c>
      <c r="F229" s="178" t="s">
        <v>185</v>
      </c>
      <c r="G229" s="178">
        <v>6.08E-2</v>
      </c>
      <c r="H229" s="178">
        <v>6.7500000000000004E-2</v>
      </c>
      <c r="I229" s="179">
        <v>6.0995199999999999E-2</v>
      </c>
      <c r="J229" s="179">
        <v>6.1499999999999999E-2</v>
      </c>
      <c r="K229" s="186">
        <v>2857000</v>
      </c>
      <c r="L229" s="186">
        <v>1250000</v>
      </c>
      <c r="M229" s="180">
        <f>K229/L229</f>
        <v>2.2856000000000001</v>
      </c>
    </row>
    <row r="230" spans="1:13" s="71" customFormat="1" ht="13.5" customHeight="1" x14ac:dyDescent="0.2">
      <c r="A230" s="172"/>
      <c r="B230" s="171"/>
      <c r="C230" s="171"/>
      <c r="D230" s="185" t="s">
        <v>121</v>
      </c>
      <c r="E230" s="181">
        <v>44392</v>
      </c>
      <c r="F230" s="178">
        <v>8.2500000000000004E-2</v>
      </c>
      <c r="G230" s="178">
        <v>6.59E-2</v>
      </c>
      <c r="H230" s="178">
        <v>7.0000000000000007E-2</v>
      </c>
      <c r="I230" s="179">
        <v>6.6408999999999996E-2</v>
      </c>
      <c r="J230" s="179">
        <v>6.6699999999999995E-2</v>
      </c>
      <c r="K230" s="186">
        <v>14879600</v>
      </c>
      <c r="L230" s="186">
        <v>4850000</v>
      </c>
      <c r="M230" s="180">
        <f>K230/L230</f>
        <v>3.0679587628865979</v>
      </c>
    </row>
    <row r="231" spans="1:13" s="71" customFormat="1" ht="13.5" customHeight="1" x14ac:dyDescent="0.2">
      <c r="A231" s="172"/>
      <c r="B231" s="172"/>
      <c r="C231" s="172"/>
      <c r="D231" s="185" t="s">
        <v>123</v>
      </c>
      <c r="E231" s="181">
        <v>46280</v>
      </c>
      <c r="F231" s="178">
        <v>8.3750000000000005E-2</v>
      </c>
      <c r="G231" s="178">
        <v>6.83E-2</v>
      </c>
      <c r="H231" s="178">
        <v>7.4999999999999997E-2</v>
      </c>
      <c r="I231" s="179">
        <v>6.8582699999999996E-2</v>
      </c>
      <c r="J231" s="179">
        <v>6.8699999999999997E-2</v>
      </c>
      <c r="K231" s="186">
        <v>16721800</v>
      </c>
      <c r="L231" s="186">
        <v>4300000</v>
      </c>
      <c r="M231" s="180">
        <f>K231/L231</f>
        <v>3.8887906976744184</v>
      </c>
    </row>
    <row r="232" spans="1:13" s="71" customFormat="1" ht="13.5" customHeight="1" x14ac:dyDescent="0.2">
      <c r="A232" s="171"/>
      <c r="B232" s="171"/>
      <c r="C232" s="171"/>
      <c r="D232" s="185" t="s">
        <v>131</v>
      </c>
      <c r="E232" s="181">
        <v>47983</v>
      </c>
      <c r="F232" s="178">
        <v>8.7499999999999994E-2</v>
      </c>
      <c r="G232" s="178">
        <v>7.1099999999999997E-2</v>
      </c>
      <c r="H232" s="178">
        <v>8.2000000000000003E-2</v>
      </c>
      <c r="I232" s="178">
        <v>7.1835700000000002E-2</v>
      </c>
      <c r="J232" s="179">
        <v>7.1999999999999995E-2</v>
      </c>
      <c r="K232" s="186">
        <v>7973700</v>
      </c>
      <c r="L232" s="168">
        <v>5600000</v>
      </c>
      <c r="M232" s="180">
        <f>K232/L232</f>
        <v>1.423875</v>
      </c>
    </row>
    <row r="233" spans="1:13" s="71" customFormat="1" ht="13.5" customHeight="1" x14ac:dyDescent="0.2">
      <c r="A233" s="248" t="s">
        <v>133</v>
      </c>
      <c r="B233" s="249"/>
      <c r="C233" s="249"/>
      <c r="D233" s="249"/>
      <c r="E233" s="249"/>
      <c r="F233" s="249"/>
      <c r="G233" s="249"/>
      <c r="H233" s="249"/>
      <c r="I233" s="249"/>
      <c r="J233" s="250"/>
      <c r="K233" s="187">
        <f>SUM(K228:K232)</f>
        <v>45883100</v>
      </c>
      <c r="L233" s="187">
        <f>SUM(L228:L232)</f>
        <v>18000000</v>
      </c>
      <c r="M233" s="180"/>
    </row>
    <row r="234" spans="1:13" x14ac:dyDescent="0.2">
      <c r="A234" s="177">
        <v>42587</v>
      </c>
      <c r="B234" s="177">
        <v>42591</v>
      </c>
      <c r="C234" s="219" t="s">
        <v>143</v>
      </c>
      <c r="D234" s="176" t="s">
        <v>161</v>
      </c>
      <c r="E234" s="181">
        <v>43490</v>
      </c>
      <c r="F234" s="178">
        <v>8.6249999999999993E-2</v>
      </c>
      <c r="G234" s="178"/>
      <c r="H234" s="178"/>
      <c r="I234" s="179"/>
      <c r="J234" s="179"/>
      <c r="K234" s="187">
        <v>300000</v>
      </c>
      <c r="L234" s="187">
        <v>300000</v>
      </c>
      <c r="M234" s="180">
        <f>K234/L234</f>
        <v>1</v>
      </c>
    </row>
    <row r="235" spans="1:13" s="71" customFormat="1" ht="13.5" customHeight="1" x14ac:dyDescent="0.2">
      <c r="A235" s="248" t="s">
        <v>133</v>
      </c>
      <c r="B235" s="249"/>
      <c r="C235" s="249"/>
      <c r="D235" s="249"/>
      <c r="E235" s="249"/>
      <c r="F235" s="249"/>
      <c r="G235" s="249"/>
      <c r="H235" s="249"/>
      <c r="I235" s="249"/>
      <c r="J235" s="250"/>
      <c r="K235" s="187">
        <f>K234</f>
        <v>300000</v>
      </c>
      <c r="L235" s="187">
        <f>L234</f>
        <v>300000</v>
      </c>
      <c r="M235" s="180"/>
    </row>
    <row r="236" spans="1:13" x14ac:dyDescent="0.2">
      <c r="A236" s="177">
        <v>42591</v>
      </c>
      <c r="B236" s="177">
        <v>42593</v>
      </c>
      <c r="C236" s="177" t="s">
        <v>144</v>
      </c>
      <c r="D236" s="176" t="s">
        <v>210</v>
      </c>
      <c r="E236" s="181">
        <v>42762</v>
      </c>
      <c r="F236" s="182" t="s">
        <v>185</v>
      </c>
      <c r="G236" s="178">
        <v>0.06</v>
      </c>
      <c r="H236" s="178">
        <v>7.0000000000000007E-2</v>
      </c>
      <c r="I236" s="179">
        <v>6.0437499999999998E-2</v>
      </c>
      <c r="J236" s="179"/>
      <c r="K236" s="223">
        <v>1900000</v>
      </c>
      <c r="L236" s="226">
        <v>1000000</v>
      </c>
      <c r="M236" s="180">
        <f t="shared" ref="M236:M240" si="4">K236/L236</f>
        <v>1.9</v>
      </c>
    </row>
    <row r="237" spans="1:13" x14ac:dyDescent="0.2">
      <c r="A237" s="177"/>
      <c r="B237" s="171"/>
      <c r="C237" s="171"/>
      <c r="D237" s="185" t="s">
        <v>128</v>
      </c>
      <c r="E237" s="181">
        <v>43125</v>
      </c>
      <c r="F237" s="178">
        <v>7.7499999999999999E-2</v>
      </c>
      <c r="G237" s="178">
        <v>6.4062499999999994E-2</v>
      </c>
      <c r="H237" s="178">
        <v>6.8750000000000006E-2</v>
      </c>
      <c r="I237" s="179">
        <v>6.4125000000000001E-2</v>
      </c>
      <c r="J237" s="179"/>
      <c r="K237" s="224">
        <v>4352000</v>
      </c>
      <c r="L237" s="224">
        <v>500000</v>
      </c>
      <c r="M237" s="180">
        <f t="shared" si="4"/>
        <v>8.7040000000000006</v>
      </c>
    </row>
    <row r="238" spans="1:13" x14ac:dyDescent="0.2">
      <c r="A238" s="172"/>
      <c r="B238" s="171"/>
      <c r="C238" s="171"/>
      <c r="D238" s="185" t="s">
        <v>127</v>
      </c>
      <c r="E238" s="181">
        <v>44089</v>
      </c>
      <c r="F238" s="178">
        <v>8.2500000000000004E-2</v>
      </c>
      <c r="G238" s="178">
        <v>6.6250000000000003E-2</v>
      </c>
      <c r="H238" s="178">
        <v>7.1249999999999994E-2</v>
      </c>
      <c r="I238" s="179">
        <v>6.6938999999999999E-2</v>
      </c>
      <c r="J238" s="179"/>
      <c r="K238" s="224">
        <v>5553000</v>
      </c>
      <c r="L238" s="224">
        <v>1070000</v>
      </c>
      <c r="M238" s="180">
        <f t="shared" si="4"/>
        <v>5.1897196261682241</v>
      </c>
    </row>
    <row r="239" spans="1:13" x14ac:dyDescent="0.2">
      <c r="A239" s="172"/>
      <c r="B239" s="172"/>
      <c r="C239" s="172"/>
      <c r="D239" s="185" t="s">
        <v>129</v>
      </c>
      <c r="E239" s="181">
        <v>45153</v>
      </c>
      <c r="F239" s="178">
        <v>8.7499999999999994E-2</v>
      </c>
      <c r="G239" s="178">
        <v>7.0000000000000007E-2</v>
      </c>
      <c r="H239" s="178">
        <v>7.8125E-2</v>
      </c>
      <c r="I239" s="179">
        <v>7.1296999999999999E-2</v>
      </c>
      <c r="J239" s="179"/>
      <c r="K239" s="224">
        <v>2193000</v>
      </c>
      <c r="L239" s="224">
        <v>1190000</v>
      </c>
      <c r="M239" s="180">
        <f t="shared" si="4"/>
        <v>1.8428571428571427</v>
      </c>
    </row>
    <row r="240" spans="1:13" x14ac:dyDescent="0.2">
      <c r="A240" s="171"/>
      <c r="B240" s="171"/>
      <c r="C240" s="171"/>
      <c r="D240" s="185" t="s">
        <v>130</v>
      </c>
      <c r="E240" s="181">
        <v>48167</v>
      </c>
      <c r="F240" s="178">
        <v>8.8749999999999996E-2</v>
      </c>
      <c r="G240" s="178">
        <v>7.4062500000000003E-2</v>
      </c>
      <c r="H240" s="178">
        <v>8.0312499999999995E-2</v>
      </c>
      <c r="I240" s="178">
        <v>7.4926000000000006E-2</v>
      </c>
      <c r="J240" s="179"/>
      <c r="K240" s="224">
        <v>3551000</v>
      </c>
      <c r="L240" s="224">
        <v>2320000</v>
      </c>
      <c r="M240" s="180">
        <f t="shared" si="4"/>
        <v>1.5306034482758621</v>
      </c>
    </row>
    <row r="241" spans="1:13" s="71" customFormat="1" ht="13.5" customHeight="1" x14ac:dyDescent="0.2">
      <c r="A241" s="248" t="s">
        <v>133</v>
      </c>
      <c r="B241" s="249"/>
      <c r="C241" s="249"/>
      <c r="D241" s="249"/>
      <c r="E241" s="249"/>
      <c r="F241" s="249"/>
      <c r="G241" s="249"/>
      <c r="H241" s="249"/>
      <c r="I241" s="249"/>
      <c r="J241" s="250"/>
      <c r="K241" s="187">
        <f>SUM(K236:K240)</f>
        <v>17549000</v>
      </c>
      <c r="L241" s="187">
        <f>SUM(L236:L240)</f>
        <v>6080000</v>
      </c>
      <c r="M241" s="180"/>
    </row>
    <row r="242" spans="1:13" s="71" customFormat="1" ht="13.5" customHeight="1" x14ac:dyDescent="0.2">
      <c r="A242" s="263">
        <v>42592</v>
      </c>
      <c r="B242" s="263">
        <v>42594</v>
      </c>
      <c r="C242" s="260" t="s">
        <v>143</v>
      </c>
      <c r="D242" s="232" t="s">
        <v>35</v>
      </c>
      <c r="E242" s="209">
        <v>44696</v>
      </c>
      <c r="F242" s="210">
        <v>7.0000000000000007E-2</v>
      </c>
      <c r="G242" s="210"/>
      <c r="H242" s="210"/>
      <c r="I242" s="210">
        <v>6.7000000000000004E-2</v>
      </c>
      <c r="J242" s="210"/>
      <c r="K242" s="211">
        <v>825000</v>
      </c>
      <c r="L242" s="211">
        <v>825000</v>
      </c>
      <c r="M242" s="180">
        <f>K242/L242</f>
        <v>1</v>
      </c>
    </row>
    <row r="243" spans="1:13" s="71" customFormat="1" ht="13.5" customHeight="1" x14ac:dyDescent="0.2">
      <c r="A243" s="264"/>
      <c r="B243" s="264"/>
      <c r="C243" s="261"/>
      <c r="D243" s="176" t="s">
        <v>94</v>
      </c>
      <c r="E243" s="209">
        <v>45061</v>
      </c>
      <c r="F243" s="210">
        <v>5.6250000000000001E-2</v>
      </c>
      <c r="G243" s="210"/>
      <c r="H243" s="210"/>
      <c r="I243" s="210">
        <v>6.7500000000000004E-2</v>
      </c>
      <c r="J243" s="210"/>
      <c r="K243" s="211">
        <v>1100000</v>
      </c>
      <c r="L243" s="211">
        <v>1100000</v>
      </c>
      <c r="M243" s="180">
        <f>K243/L243</f>
        <v>1</v>
      </c>
    </row>
    <row r="244" spans="1:13" s="71" customFormat="1" ht="13.5" customHeight="1" x14ac:dyDescent="0.2">
      <c r="A244" s="264"/>
      <c r="B244" s="264"/>
      <c r="C244" s="261"/>
      <c r="D244" s="176" t="s">
        <v>135</v>
      </c>
      <c r="E244" s="209">
        <v>45122</v>
      </c>
      <c r="F244" s="210">
        <v>9.5000000000000001E-2</v>
      </c>
      <c r="G244" s="210"/>
      <c r="H244" s="210"/>
      <c r="I244" s="210">
        <v>6.7599999999999993E-2</v>
      </c>
      <c r="J244" s="210"/>
      <c r="K244" s="211">
        <v>825000</v>
      </c>
      <c r="L244" s="211">
        <v>825000</v>
      </c>
      <c r="M244" s="180">
        <f>K244/L244</f>
        <v>1</v>
      </c>
    </row>
    <row r="245" spans="1:13" s="71" customFormat="1" ht="13.5" customHeight="1" x14ac:dyDescent="0.2">
      <c r="A245" s="265"/>
      <c r="B245" s="265"/>
      <c r="C245" s="262"/>
      <c r="D245" s="239" t="s">
        <v>47</v>
      </c>
      <c r="E245" s="209">
        <v>51971</v>
      </c>
      <c r="F245" s="210">
        <v>6.3750000000000001E-2</v>
      </c>
      <c r="G245" s="210"/>
      <c r="H245" s="210"/>
      <c r="I245" s="210">
        <v>7.5200000000000003E-2</v>
      </c>
      <c r="J245" s="210"/>
      <c r="K245" s="211">
        <v>992000</v>
      </c>
      <c r="L245" s="211">
        <v>992000</v>
      </c>
      <c r="M245" s="180">
        <f>K245/L245</f>
        <v>1</v>
      </c>
    </row>
    <row r="246" spans="1:13" s="71" customFormat="1" ht="13.5" customHeight="1" x14ac:dyDescent="0.2">
      <c r="A246" s="248" t="s">
        <v>133</v>
      </c>
      <c r="B246" s="249"/>
      <c r="C246" s="249"/>
      <c r="D246" s="249"/>
      <c r="E246" s="249"/>
      <c r="F246" s="249"/>
      <c r="G246" s="249"/>
      <c r="H246" s="249"/>
      <c r="I246" s="249"/>
      <c r="J246" s="250"/>
      <c r="K246" s="187">
        <f>SUM(K242:K245)</f>
        <v>3742000</v>
      </c>
      <c r="L246" s="187">
        <v>3742000</v>
      </c>
      <c r="M246" s="180"/>
    </row>
    <row r="247" spans="1:13" s="71" customFormat="1" ht="13.5" customHeight="1" x14ac:dyDescent="0.2">
      <c r="A247" s="177">
        <v>42598</v>
      </c>
      <c r="B247" s="177">
        <v>42601</v>
      </c>
      <c r="C247" s="177" t="s">
        <v>144</v>
      </c>
      <c r="D247" s="176" t="s">
        <v>183</v>
      </c>
      <c r="E247" s="181">
        <v>42866</v>
      </c>
      <c r="F247" s="182" t="s">
        <v>185</v>
      </c>
      <c r="G247" s="178">
        <v>5.7500000000000002E-2</v>
      </c>
      <c r="H247" s="178">
        <v>6.25E-2</v>
      </c>
      <c r="I247" s="179">
        <v>5.8143399999999998E-2</v>
      </c>
      <c r="J247" s="179">
        <v>5.8500000000000003E-2</v>
      </c>
      <c r="K247" s="183">
        <v>9482400</v>
      </c>
      <c r="L247" s="184">
        <v>2000000</v>
      </c>
      <c r="M247" s="180">
        <f>K247/L247</f>
        <v>4.7412000000000001</v>
      </c>
    </row>
    <row r="248" spans="1:13" s="71" customFormat="1" ht="13.5" customHeight="1" x14ac:dyDescent="0.2">
      <c r="A248" s="172"/>
      <c r="B248" s="171"/>
      <c r="C248" s="171"/>
      <c r="D248" s="185" t="s">
        <v>121</v>
      </c>
      <c r="E248" s="181">
        <v>44392</v>
      </c>
      <c r="F248" s="178">
        <v>8.2500000000000004E-2</v>
      </c>
      <c r="G248" s="178">
        <v>6.5699999999999995E-2</v>
      </c>
      <c r="H248" s="178">
        <v>6.7900000000000002E-2</v>
      </c>
      <c r="I248" s="179">
        <v>6.6137299999999996E-2</v>
      </c>
      <c r="J248" s="179">
        <v>6.6299999999999998E-2</v>
      </c>
      <c r="K248" s="186">
        <v>12223800</v>
      </c>
      <c r="L248" s="186">
        <v>3550000</v>
      </c>
      <c r="M248" s="180">
        <f>K248/L248</f>
        <v>3.443323943661972</v>
      </c>
    </row>
    <row r="249" spans="1:13" s="71" customFormat="1" ht="13.5" customHeight="1" x14ac:dyDescent="0.2">
      <c r="A249" s="172"/>
      <c r="B249" s="172"/>
      <c r="C249" s="172"/>
      <c r="D249" s="185" t="s">
        <v>131</v>
      </c>
      <c r="E249" s="181">
        <v>47983</v>
      </c>
      <c r="F249" s="178">
        <v>8.7499999999999994E-2</v>
      </c>
      <c r="G249" s="178">
        <v>7.17E-2</v>
      </c>
      <c r="H249" s="178">
        <v>7.2900000000000006E-2</v>
      </c>
      <c r="I249" s="179">
        <v>7.1999900000000006E-2</v>
      </c>
      <c r="J249" s="179">
        <v>7.22E-2</v>
      </c>
      <c r="K249" s="186">
        <v>9122000</v>
      </c>
      <c r="L249" s="186">
        <v>6700000</v>
      </c>
      <c r="M249" s="180">
        <f>K249/L249</f>
        <v>1.3614925373134328</v>
      </c>
    </row>
    <row r="250" spans="1:13" s="71" customFormat="1" ht="13.5" customHeight="1" x14ac:dyDescent="0.2">
      <c r="A250" s="171"/>
      <c r="B250" s="171"/>
      <c r="C250" s="171"/>
      <c r="D250" s="185" t="s">
        <v>124</v>
      </c>
      <c r="E250" s="181">
        <v>49810</v>
      </c>
      <c r="F250" s="178">
        <v>8.2500000000000004E-2</v>
      </c>
      <c r="G250" s="178">
        <v>7.2800000000000004E-2</v>
      </c>
      <c r="H250" s="178">
        <v>7.3999999999999996E-2</v>
      </c>
      <c r="I250" s="178">
        <v>7.3199799999999995E-2</v>
      </c>
      <c r="J250" s="179">
        <v>7.3499999999999996E-2</v>
      </c>
      <c r="K250" s="186">
        <v>6132800</v>
      </c>
      <c r="L250" s="168">
        <v>5750000</v>
      </c>
      <c r="M250" s="180">
        <f>K250/L250</f>
        <v>1.0665739130434782</v>
      </c>
    </row>
    <row r="251" spans="1:13" s="71" customFormat="1" ht="13.5" customHeight="1" x14ac:dyDescent="0.2">
      <c r="A251" s="248" t="s">
        <v>133</v>
      </c>
      <c r="B251" s="249"/>
      <c r="C251" s="249"/>
      <c r="D251" s="249"/>
      <c r="E251" s="249"/>
      <c r="F251" s="249"/>
      <c r="G251" s="249"/>
      <c r="H251" s="249"/>
      <c r="I251" s="249"/>
      <c r="J251" s="250"/>
      <c r="K251" s="187">
        <f>SUM(K247:K250)</f>
        <v>36961000</v>
      </c>
      <c r="L251" s="187">
        <f>SUM(L247:L250)</f>
        <v>18000000</v>
      </c>
      <c r="M251" s="180"/>
    </row>
    <row r="252" spans="1:13" x14ac:dyDescent="0.2">
      <c r="A252" s="177">
        <v>42605</v>
      </c>
      <c r="B252" s="177">
        <v>42607</v>
      </c>
      <c r="C252" s="177" t="s">
        <v>144</v>
      </c>
      <c r="D252" s="176" t="s">
        <v>214</v>
      </c>
      <c r="E252" s="181">
        <v>42790</v>
      </c>
      <c r="F252" s="182" t="s">
        <v>185</v>
      </c>
      <c r="G252" s="178">
        <v>5.9374999999999997E-2</v>
      </c>
      <c r="H252" s="178">
        <v>7.0000000000000007E-2</v>
      </c>
      <c r="I252" s="179">
        <v>6.0328800000000002E-2</v>
      </c>
      <c r="J252" s="179"/>
      <c r="K252" s="223">
        <v>2978000</v>
      </c>
      <c r="L252" s="226">
        <v>1000000</v>
      </c>
      <c r="M252" s="180">
        <f t="shared" ref="M252:M256" si="5">K252/L252</f>
        <v>2.9780000000000002</v>
      </c>
    </row>
    <row r="253" spans="1:13" x14ac:dyDescent="0.2">
      <c r="A253" s="177"/>
      <c r="B253" s="171"/>
      <c r="C253" s="171"/>
      <c r="D253" s="185" t="s">
        <v>128</v>
      </c>
      <c r="E253" s="181">
        <v>43125</v>
      </c>
      <c r="F253" s="178">
        <v>7.7499999999999999E-2</v>
      </c>
      <c r="G253" s="178">
        <v>6.4062499999999994E-2</v>
      </c>
      <c r="H253" s="178">
        <v>7.1249999999999994E-2</v>
      </c>
      <c r="I253" s="179">
        <v>6.4995800000000006E-2</v>
      </c>
      <c r="J253" s="179"/>
      <c r="K253" s="224">
        <v>1626000</v>
      </c>
      <c r="L253" s="224">
        <v>750000</v>
      </c>
      <c r="M253" s="180">
        <f t="shared" si="5"/>
        <v>2.1680000000000001</v>
      </c>
    </row>
    <row r="254" spans="1:13" x14ac:dyDescent="0.2">
      <c r="A254" s="172"/>
      <c r="B254" s="171"/>
      <c r="C254" s="171"/>
      <c r="D254" s="185" t="s">
        <v>127</v>
      </c>
      <c r="E254" s="181">
        <v>44089</v>
      </c>
      <c r="F254" s="178">
        <v>8.2500000000000004E-2</v>
      </c>
      <c r="G254" s="178">
        <v>6.5625000000000003E-2</v>
      </c>
      <c r="H254" s="178">
        <v>7.1562500000000001E-2</v>
      </c>
      <c r="I254" s="179">
        <v>6.6599599999999995E-2</v>
      </c>
      <c r="J254" s="179"/>
      <c r="K254" s="224">
        <v>5849000</v>
      </c>
      <c r="L254" s="224">
        <v>2430000</v>
      </c>
      <c r="M254" s="180">
        <f t="shared" si="5"/>
        <v>2.4069958847736626</v>
      </c>
    </row>
    <row r="255" spans="1:13" x14ac:dyDescent="0.2">
      <c r="A255" s="172"/>
      <c r="B255" s="172"/>
      <c r="C255" s="172"/>
      <c r="D255" s="185" t="s">
        <v>129</v>
      </c>
      <c r="E255" s="181">
        <v>45153</v>
      </c>
      <c r="F255" s="178">
        <v>8.7499999999999994E-2</v>
      </c>
      <c r="G255" s="178">
        <v>7.1249999999999994E-2</v>
      </c>
      <c r="H255" s="178">
        <v>7.5624999999999998E-2</v>
      </c>
      <c r="I255" s="179">
        <v>0</v>
      </c>
      <c r="J255" s="179"/>
      <c r="K255" s="224">
        <v>1895500</v>
      </c>
      <c r="L255" s="224">
        <v>0</v>
      </c>
      <c r="M255" s="180">
        <v>0</v>
      </c>
    </row>
    <row r="256" spans="1:13" x14ac:dyDescent="0.2">
      <c r="A256" s="171"/>
      <c r="B256" s="171"/>
      <c r="C256" s="171"/>
      <c r="D256" s="185" t="s">
        <v>130</v>
      </c>
      <c r="E256" s="181">
        <v>48167</v>
      </c>
      <c r="F256" s="178">
        <v>8.8749999999999996E-2</v>
      </c>
      <c r="G256" s="178">
        <v>7.4374999999999997E-2</v>
      </c>
      <c r="H256" s="178">
        <v>7.4374999999999997E-2</v>
      </c>
      <c r="I256" s="178">
        <v>7.4795100000000003E-2</v>
      </c>
      <c r="J256" s="179"/>
      <c r="K256" s="224">
        <v>2918000</v>
      </c>
      <c r="L256" s="224">
        <v>190000</v>
      </c>
      <c r="M256" s="180">
        <f t="shared" si="5"/>
        <v>15.357894736842105</v>
      </c>
    </row>
    <row r="257" spans="1:13" s="71" customFormat="1" ht="13.5" customHeight="1" x14ac:dyDescent="0.2">
      <c r="A257" s="248" t="s">
        <v>133</v>
      </c>
      <c r="B257" s="249"/>
      <c r="C257" s="249"/>
      <c r="D257" s="249"/>
      <c r="E257" s="249"/>
      <c r="F257" s="249"/>
      <c r="G257" s="249"/>
      <c r="H257" s="249"/>
      <c r="I257" s="249"/>
      <c r="J257" s="250"/>
      <c r="K257" s="187">
        <f>SUM(K252:K256)</f>
        <v>15266500</v>
      </c>
      <c r="L257" s="187">
        <f>SUM(L252:L256)</f>
        <v>4370000</v>
      </c>
      <c r="M257" s="180"/>
    </row>
    <row r="258" spans="1:13" x14ac:dyDescent="0.2">
      <c r="A258" s="251" t="s">
        <v>217</v>
      </c>
      <c r="B258" s="252"/>
      <c r="C258" s="252"/>
      <c r="D258" s="252"/>
      <c r="E258" s="252"/>
      <c r="F258" s="252"/>
      <c r="G258" s="252"/>
      <c r="H258" s="252"/>
      <c r="I258" s="252"/>
      <c r="J258" s="253"/>
      <c r="K258" s="175">
        <f>SUM(K227,K233,K235,K241,K246, K251,K257)</f>
        <v>1049035313.2</v>
      </c>
      <c r="L258" s="175">
        <f>SUM(L227,L233,L235,L241,L246,L251,L257)</f>
        <v>533832232</v>
      </c>
      <c r="M258" s="169"/>
    </row>
    <row r="259" spans="1:13" s="71" customFormat="1" ht="13.5" customHeight="1" x14ac:dyDescent="0.2">
      <c r="A259" s="177">
        <v>42612</v>
      </c>
      <c r="B259" s="177">
        <v>42614</v>
      </c>
      <c r="C259" s="177" t="s">
        <v>144</v>
      </c>
      <c r="D259" s="176" t="s">
        <v>215</v>
      </c>
      <c r="E259" s="181">
        <v>42706</v>
      </c>
      <c r="F259" s="182" t="s">
        <v>185</v>
      </c>
      <c r="G259" s="178">
        <v>5.3999999999999999E-2</v>
      </c>
      <c r="H259" s="178">
        <v>6.0999999999999999E-2</v>
      </c>
      <c r="I259" s="179">
        <v>5.60306E-2</v>
      </c>
      <c r="J259" s="179">
        <v>5.79E-2</v>
      </c>
      <c r="K259" s="183">
        <v>2374400</v>
      </c>
      <c r="L259" s="184">
        <v>2000000</v>
      </c>
      <c r="M259" s="180">
        <f>K259/L259</f>
        <v>1.1872</v>
      </c>
    </row>
    <row r="260" spans="1:13" s="71" customFormat="1" ht="13.5" customHeight="1" x14ac:dyDescent="0.2">
      <c r="A260" s="177"/>
      <c r="B260" s="171"/>
      <c r="C260" s="171"/>
      <c r="D260" s="185" t="s">
        <v>212</v>
      </c>
      <c r="E260" s="181">
        <v>42951</v>
      </c>
      <c r="F260" s="178" t="s">
        <v>185</v>
      </c>
      <c r="G260" s="178">
        <v>6.0999999999999999E-2</v>
      </c>
      <c r="H260" s="178">
        <v>6.7500000000000004E-2</v>
      </c>
      <c r="I260" s="179"/>
      <c r="J260" s="179"/>
      <c r="K260" s="186">
        <v>993100</v>
      </c>
      <c r="L260" s="186"/>
      <c r="M260" s="180"/>
    </row>
    <row r="261" spans="1:13" s="71" customFormat="1" ht="13.5" customHeight="1" x14ac:dyDescent="0.2">
      <c r="A261" s="172"/>
      <c r="B261" s="171"/>
      <c r="C261" s="171"/>
      <c r="D261" s="185" t="s">
        <v>123</v>
      </c>
      <c r="E261" s="181">
        <v>46280</v>
      </c>
      <c r="F261" s="178">
        <v>8.3750000000000005E-2</v>
      </c>
      <c r="G261" s="178">
        <v>7.0800000000000002E-2</v>
      </c>
      <c r="H261" s="178">
        <v>7.3200000000000001E-2</v>
      </c>
      <c r="I261" s="179">
        <v>7.1398500000000004E-2</v>
      </c>
      <c r="J261" s="179">
        <v>7.1599999999999997E-2</v>
      </c>
      <c r="K261" s="186">
        <v>10754400</v>
      </c>
      <c r="L261" s="186">
        <v>6800000</v>
      </c>
      <c r="M261" s="180">
        <f>K261/L261</f>
        <v>1.5815294117647059</v>
      </c>
    </row>
    <row r="262" spans="1:13" s="71" customFormat="1" ht="13.5" customHeight="1" x14ac:dyDescent="0.2">
      <c r="A262" s="172"/>
      <c r="B262" s="172"/>
      <c r="C262" s="172"/>
      <c r="D262" s="185" t="s">
        <v>131</v>
      </c>
      <c r="E262" s="181">
        <v>47983</v>
      </c>
      <c r="F262" s="178">
        <v>8.7499999999999994E-2</v>
      </c>
      <c r="G262" s="178">
        <v>7.3599999999999999E-2</v>
      </c>
      <c r="H262" s="178">
        <v>7.5399999999999995E-2</v>
      </c>
      <c r="I262" s="179">
        <v>7.3998300000000003E-2</v>
      </c>
      <c r="J262" s="179">
        <v>7.4300000000000005E-2</v>
      </c>
      <c r="K262" s="186">
        <v>4059500</v>
      </c>
      <c r="L262" s="186">
        <v>2850000</v>
      </c>
      <c r="M262" s="180">
        <f>K262/L262</f>
        <v>1.4243859649122808</v>
      </c>
    </row>
    <row r="263" spans="1:13" s="71" customFormat="1" ht="13.5" customHeight="1" x14ac:dyDescent="0.2">
      <c r="A263" s="171"/>
      <c r="B263" s="171"/>
      <c r="C263" s="171"/>
      <c r="D263" s="185" t="s">
        <v>124</v>
      </c>
      <c r="E263" s="181">
        <v>49810</v>
      </c>
      <c r="F263" s="178">
        <v>8.2500000000000004E-2</v>
      </c>
      <c r="G263" s="178">
        <v>7.46E-2</v>
      </c>
      <c r="H263" s="178">
        <v>7.7499999999999999E-2</v>
      </c>
      <c r="I263" s="178">
        <v>7.4799299999999999E-2</v>
      </c>
      <c r="J263" s="179">
        <v>7.4999999999999997E-2</v>
      </c>
      <c r="K263" s="186">
        <v>3934900</v>
      </c>
      <c r="L263" s="168">
        <v>1350000</v>
      </c>
      <c r="M263" s="180">
        <f>K263/L263</f>
        <v>2.9147407407407409</v>
      </c>
    </row>
    <row r="264" spans="1:13" s="71" customFormat="1" ht="13.5" customHeight="1" x14ac:dyDescent="0.2">
      <c r="A264" s="248" t="s">
        <v>133</v>
      </c>
      <c r="B264" s="249"/>
      <c r="C264" s="249"/>
      <c r="D264" s="249"/>
      <c r="E264" s="249"/>
      <c r="F264" s="249"/>
      <c r="G264" s="249"/>
      <c r="H264" s="249"/>
      <c r="I264" s="249"/>
      <c r="J264" s="250"/>
      <c r="K264" s="187">
        <f>SUM(K259:K263)</f>
        <v>22116300</v>
      </c>
      <c r="L264" s="187">
        <f>SUM(L259:L263)</f>
        <v>13000000</v>
      </c>
      <c r="M264" s="180"/>
    </row>
    <row r="265" spans="1:13" x14ac:dyDescent="0.2">
      <c r="A265" s="177">
        <v>42620</v>
      </c>
      <c r="B265" s="177">
        <v>42620</v>
      </c>
      <c r="C265" s="219" t="s">
        <v>142</v>
      </c>
      <c r="D265" s="176" t="s">
        <v>216</v>
      </c>
      <c r="E265" s="181">
        <v>43715</v>
      </c>
      <c r="F265" s="178">
        <v>6.9000000000000006E-2</v>
      </c>
      <c r="G265" s="178"/>
      <c r="H265" s="178"/>
      <c r="I265" s="179"/>
      <c r="J265" s="179"/>
      <c r="K265" s="187">
        <v>2585122</v>
      </c>
      <c r="L265" s="187">
        <v>2585122</v>
      </c>
      <c r="M265" s="180">
        <f>K265/L265</f>
        <v>1</v>
      </c>
    </row>
    <row r="266" spans="1:13" s="71" customFormat="1" ht="13.5" customHeight="1" x14ac:dyDescent="0.2">
      <c r="A266" s="248" t="s">
        <v>133</v>
      </c>
      <c r="B266" s="249"/>
      <c r="C266" s="249"/>
      <c r="D266" s="249"/>
      <c r="E266" s="249"/>
      <c r="F266" s="249"/>
      <c r="G266" s="249"/>
      <c r="H266" s="249"/>
      <c r="I266" s="249"/>
      <c r="J266" s="250"/>
      <c r="K266" s="187">
        <f>K265</f>
        <v>2585122</v>
      </c>
      <c r="L266" s="187">
        <f>L265</f>
        <v>2585122</v>
      </c>
      <c r="M266" s="180"/>
    </row>
    <row r="267" spans="1:13" x14ac:dyDescent="0.2">
      <c r="A267" s="177">
        <v>42619</v>
      </c>
      <c r="B267" s="177">
        <v>42621</v>
      </c>
      <c r="C267" s="177" t="s">
        <v>144</v>
      </c>
      <c r="D267" s="176" t="s">
        <v>214</v>
      </c>
      <c r="E267" s="181">
        <v>42790</v>
      </c>
      <c r="F267" s="182" t="s">
        <v>185</v>
      </c>
      <c r="G267" s="178">
        <v>5.7500000000000002E-2</v>
      </c>
      <c r="H267" s="178">
        <v>7.0000000000000007E-2</v>
      </c>
      <c r="I267" s="179">
        <v>5.8629399999999998E-2</v>
      </c>
      <c r="J267" s="179"/>
      <c r="K267" s="223">
        <v>2238000</v>
      </c>
      <c r="L267" s="226">
        <v>1000000</v>
      </c>
      <c r="M267" s="180">
        <f t="shared" ref="M267:M271" si="6">K267/L267</f>
        <v>2.238</v>
      </c>
    </row>
    <row r="268" spans="1:13" x14ac:dyDescent="0.2">
      <c r="A268" s="177"/>
      <c r="B268" s="171"/>
      <c r="C268" s="171"/>
      <c r="D268" s="185" t="s">
        <v>128</v>
      </c>
      <c r="E268" s="181">
        <v>43125</v>
      </c>
      <c r="F268" s="178">
        <v>7.7499999999999999E-2</v>
      </c>
      <c r="G268" s="178">
        <v>6.3125000000000001E-2</v>
      </c>
      <c r="H268" s="178">
        <v>6.7812499999999998E-2</v>
      </c>
      <c r="I268" s="179">
        <v>6.3632499999999995E-2</v>
      </c>
      <c r="J268" s="179"/>
      <c r="K268" s="224">
        <v>5562000</v>
      </c>
      <c r="L268" s="224">
        <v>660000</v>
      </c>
      <c r="M268" s="180">
        <f t="shared" si="6"/>
        <v>8.4272727272727277</v>
      </c>
    </row>
    <row r="269" spans="1:13" x14ac:dyDescent="0.2">
      <c r="A269" s="172"/>
      <c r="B269" s="171"/>
      <c r="C269" s="171"/>
      <c r="D269" s="185" t="s">
        <v>127</v>
      </c>
      <c r="E269" s="181">
        <v>44089</v>
      </c>
      <c r="F269" s="178">
        <v>8.2500000000000004E-2</v>
      </c>
      <c r="G269" s="178">
        <v>6.5937499999999996E-2</v>
      </c>
      <c r="H269" s="178">
        <v>6.9062499999999999E-2</v>
      </c>
      <c r="I269" s="179">
        <v>6.6697500000000007E-2</v>
      </c>
      <c r="J269" s="179"/>
      <c r="K269" s="224">
        <v>3768500</v>
      </c>
      <c r="L269" s="224">
        <v>2510000</v>
      </c>
      <c r="M269" s="180">
        <f t="shared" si="6"/>
        <v>1.5013944223107569</v>
      </c>
    </row>
    <row r="270" spans="1:13" x14ac:dyDescent="0.2">
      <c r="A270" s="172"/>
      <c r="B270" s="172"/>
      <c r="C270" s="172"/>
      <c r="D270" s="185" t="s">
        <v>129</v>
      </c>
      <c r="E270" s="181">
        <v>45153</v>
      </c>
      <c r="F270" s="178">
        <v>8.7499999999999994E-2</v>
      </c>
      <c r="G270" s="178">
        <v>7.0000000000000007E-2</v>
      </c>
      <c r="H270" s="178">
        <v>7.5624999999999998E-2</v>
      </c>
      <c r="I270" s="179">
        <v>7.12029E-2</v>
      </c>
      <c r="J270" s="179"/>
      <c r="K270" s="224">
        <v>1184200</v>
      </c>
      <c r="L270" s="224">
        <v>1160000</v>
      </c>
      <c r="M270" s="180">
        <f t="shared" si="6"/>
        <v>1.0208620689655172</v>
      </c>
    </row>
    <row r="271" spans="1:13" x14ac:dyDescent="0.2">
      <c r="A271" s="171"/>
      <c r="B271" s="171"/>
      <c r="C271" s="171"/>
      <c r="D271" s="185" t="s">
        <v>130</v>
      </c>
      <c r="E271" s="181">
        <v>48167</v>
      </c>
      <c r="F271" s="178">
        <v>8.8749999999999996E-2</v>
      </c>
      <c r="G271" s="178">
        <v>7.3749999999999996E-2</v>
      </c>
      <c r="H271" s="178">
        <v>8.1562499999999996E-2</v>
      </c>
      <c r="I271" s="178">
        <v>7.4791200000000002E-2</v>
      </c>
      <c r="J271" s="179"/>
      <c r="K271" s="224">
        <v>693500</v>
      </c>
      <c r="L271" s="224">
        <v>670000</v>
      </c>
      <c r="M271" s="180">
        <f t="shared" si="6"/>
        <v>1.0350746268656716</v>
      </c>
    </row>
    <row r="272" spans="1:13" s="71" customFormat="1" ht="13.5" customHeight="1" x14ac:dyDescent="0.2">
      <c r="A272" s="248" t="s">
        <v>133</v>
      </c>
      <c r="B272" s="249"/>
      <c r="C272" s="249"/>
      <c r="D272" s="249"/>
      <c r="E272" s="249"/>
      <c r="F272" s="249"/>
      <c r="G272" s="249"/>
      <c r="H272" s="249"/>
      <c r="I272" s="249"/>
      <c r="J272" s="250"/>
      <c r="K272" s="187">
        <f>SUM(K267:K271)</f>
        <v>13446200</v>
      </c>
      <c r="L272" s="187">
        <f>SUM(L267:L271)</f>
        <v>6000000</v>
      </c>
      <c r="M272" s="180"/>
    </row>
    <row r="273" spans="1:13" s="71" customFormat="1" ht="13.5" customHeight="1" x14ac:dyDescent="0.2">
      <c r="A273" s="177">
        <v>42626</v>
      </c>
      <c r="B273" s="177">
        <v>42628</v>
      </c>
      <c r="C273" s="177" t="s">
        <v>144</v>
      </c>
      <c r="D273" s="176" t="s">
        <v>230</v>
      </c>
      <c r="E273" s="181">
        <v>42992</v>
      </c>
      <c r="F273" s="182" t="s">
        <v>185</v>
      </c>
      <c r="G273" s="178">
        <v>6.0999999999999999E-2</v>
      </c>
      <c r="H273" s="178">
        <v>6.7000000000000004E-2</v>
      </c>
      <c r="I273" s="179">
        <v>6.1469999999999997E-2</v>
      </c>
      <c r="J273" s="179">
        <v>6.1899999999999997E-2</v>
      </c>
      <c r="K273" s="183">
        <v>2331000</v>
      </c>
      <c r="L273" s="184">
        <v>1500000</v>
      </c>
      <c r="M273" s="180">
        <f>K273/L273</f>
        <v>1.554</v>
      </c>
    </row>
    <row r="274" spans="1:13" s="71" customFormat="1" ht="13.5" customHeight="1" x14ac:dyDescent="0.2">
      <c r="A274" s="177"/>
      <c r="B274" s="171"/>
      <c r="C274" s="171"/>
      <c r="D274" s="185" t="s">
        <v>35</v>
      </c>
      <c r="E274" s="181">
        <v>44696</v>
      </c>
      <c r="F274" s="178">
        <v>7.0000000000000007E-2</v>
      </c>
      <c r="G274" s="178">
        <v>6.7000000000000004E-2</v>
      </c>
      <c r="H274" s="178">
        <v>6.9199999999999998E-2</v>
      </c>
      <c r="I274" s="179">
        <v>6.7846000000000004E-2</v>
      </c>
      <c r="J274" s="179">
        <v>6.83E-2</v>
      </c>
      <c r="K274" s="186">
        <v>3575000</v>
      </c>
      <c r="L274" s="186">
        <v>3250000</v>
      </c>
      <c r="M274" s="180">
        <f>K274/L274</f>
        <v>1.1000000000000001</v>
      </c>
    </row>
    <row r="275" spans="1:13" s="71" customFormat="1" ht="13.5" customHeight="1" x14ac:dyDescent="0.2">
      <c r="A275" s="172"/>
      <c r="B275" s="171"/>
      <c r="C275" s="171"/>
      <c r="D275" s="185" t="s">
        <v>43</v>
      </c>
      <c r="E275" s="181">
        <v>46522</v>
      </c>
      <c r="F275" s="178">
        <v>7.0000000000000007E-2</v>
      </c>
      <c r="G275" s="178">
        <v>6.9500000000000006E-2</v>
      </c>
      <c r="H275" s="178">
        <v>7.3999999999999996E-2</v>
      </c>
      <c r="I275" s="179">
        <v>7.0238099999999998E-2</v>
      </c>
      <c r="J275" s="179">
        <v>7.0599999999999996E-2</v>
      </c>
      <c r="K275" s="186">
        <v>5415000</v>
      </c>
      <c r="L275" s="186">
        <v>3850000</v>
      </c>
      <c r="M275" s="180">
        <f>K275/L275</f>
        <v>1.4064935064935065</v>
      </c>
    </row>
    <row r="276" spans="1:13" s="71" customFormat="1" ht="13.5" customHeight="1" x14ac:dyDescent="0.2">
      <c r="A276" s="172"/>
      <c r="B276" s="172"/>
      <c r="C276" s="172"/>
      <c r="D276" s="185" t="s">
        <v>131</v>
      </c>
      <c r="E276" s="181">
        <v>47983</v>
      </c>
      <c r="F276" s="178">
        <v>8.7499999999999994E-2</v>
      </c>
      <c r="G276" s="178">
        <v>7.2499999999999995E-2</v>
      </c>
      <c r="H276" s="178">
        <v>7.4999999999999997E-2</v>
      </c>
      <c r="I276" s="179"/>
      <c r="J276" s="179"/>
      <c r="K276" s="186">
        <v>1537300</v>
      </c>
      <c r="L276" s="186"/>
      <c r="M276" s="180"/>
    </row>
    <row r="277" spans="1:13" s="71" customFormat="1" ht="13.5" customHeight="1" x14ac:dyDescent="0.2">
      <c r="A277" s="171"/>
      <c r="B277" s="171"/>
      <c r="C277" s="171"/>
      <c r="D277" s="185" t="s">
        <v>167</v>
      </c>
      <c r="E277" s="181">
        <v>52642</v>
      </c>
      <c r="F277" s="178">
        <v>8.7499999999999994E-2</v>
      </c>
      <c r="G277" s="178">
        <v>7.5499999999999998E-2</v>
      </c>
      <c r="H277" s="178">
        <v>8.5000000000000006E-2</v>
      </c>
      <c r="I277" s="178">
        <v>7.6007500000000006E-2</v>
      </c>
      <c r="J277" s="179">
        <v>7.6600000000000001E-2</v>
      </c>
      <c r="K277" s="186">
        <v>3671300</v>
      </c>
      <c r="L277" s="168">
        <v>3400000</v>
      </c>
      <c r="M277" s="180">
        <f>K277/L277</f>
        <v>1.0797941176470589</v>
      </c>
    </row>
    <row r="278" spans="1:13" s="71" customFormat="1" ht="13.5" customHeight="1" x14ac:dyDescent="0.2">
      <c r="A278" s="248" t="s">
        <v>133</v>
      </c>
      <c r="B278" s="249"/>
      <c r="C278" s="249"/>
      <c r="D278" s="249"/>
      <c r="E278" s="249"/>
      <c r="F278" s="249"/>
      <c r="G278" s="249"/>
      <c r="H278" s="249"/>
      <c r="I278" s="249"/>
      <c r="J278" s="250"/>
      <c r="K278" s="187">
        <f>SUM(K273:K277)</f>
        <v>16529600</v>
      </c>
      <c r="L278" s="187">
        <f>SUM(L273:L277)</f>
        <v>12000000</v>
      </c>
      <c r="M278" s="180"/>
    </row>
    <row r="279" spans="1:13" x14ac:dyDescent="0.2">
      <c r="A279" s="177">
        <v>42629</v>
      </c>
      <c r="B279" s="177">
        <v>42633</v>
      </c>
      <c r="C279" s="219" t="s">
        <v>143</v>
      </c>
      <c r="D279" s="176" t="s">
        <v>161</v>
      </c>
      <c r="E279" s="181">
        <v>43490</v>
      </c>
      <c r="F279" s="178">
        <v>8.6249999999999993E-2</v>
      </c>
      <c r="G279" s="178"/>
      <c r="H279" s="178"/>
      <c r="I279" s="179"/>
      <c r="J279" s="179"/>
      <c r="K279" s="187">
        <v>250000</v>
      </c>
      <c r="L279" s="187">
        <v>250000</v>
      </c>
      <c r="M279" s="180">
        <f>K279/L279</f>
        <v>1</v>
      </c>
    </row>
    <row r="280" spans="1:13" s="71" customFormat="1" ht="13.5" customHeight="1" x14ac:dyDescent="0.2">
      <c r="A280" s="248" t="s">
        <v>133</v>
      </c>
      <c r="B280" s="249"/>
      <c r="C280" s="249"/>
      <c r="D280" s="249"/>
      <c r="E280" s="249"/>
      <c r="F280" s="249"/>
      <c r="G280" s="249"/>
      <c r="H280" s="249"/>
      <c r="I280" s="249"/>
      <c r="J280" s="250"/>
      <c r="K280" s="187">
        <f>K279</f>
        <v>250000</v>
      </c>
      <c r="L280" s="187">
        <f>L279</f>
        <v>250000</v>
      </c>
      <c r="M280" s="180"/>
    </row>
    <row r="281" spans="1:13" s="71" customFormat="1" ht="13.5" customHeight="1" x14ac:dyDescent="0.2">
      <c r="A281" s="177">
        <v>42633</v>
      </c>
      <c r="B281" s="177">
        <v>42635</v>
      </c>
      <c r="C281" s="177" t="s">
        <v>144</v>
      </c>
      <c r="D281" s="176" t="s">
        <v>221</v>
      </c>
      <c r="E281" s="181">
        <v>42815</v>
      </c>
      <c r="F281" s="182" t="s">
        <v>185</v>
      </c>
      <c r="G281" s="178">
        <v>5.8125000000000003E-2</v>
      </c>
      <c r="H281" s="178">
        <v>7.0000000000000007E-2</v>
      </c>
      <c r="I281" s="179">
        <v>5.8781300000000002E-2</v>
      </c>
      <c r="J281" s="179"/>
      <c r="K281" s="183">
        <v>2011000</v>
      </c>
      <c r="L281" s="184">
        <v>1000000</v>
      </c>
      <c r="M281" s="180">
        <f>K281/L281</f>
        <v>2.0110000000000001</v>
      </c>
    </row>
    <row r="282" spans="1:13" s="71" customFormat="1" ht="13.5" customHeight="1" x14ac:dyDescent="0.2">
      <c r="A282" s="177"/>
      <c r="B282" s="171"/>
      <c r="C282" s="171"/>
      <c r="D282" s="185" t="s">
        <v>128</v>
      </c>
      <c r="E282" s="181">
        <v>43125</v>
      </c>
      <c r="F282" s="178">
        <v>7.7499999999999999E-2</v>
      </c>
      <c r="G282" s="178">
        <v>6.3750000000000001E-2</v>
      </c>
      <c r="H282" s="178">
        <v>6.8125000000000005E-2</v>
      </c>
      <c r="I282" s="179">
        <v>6.3881300000000002E-2</v>
      </c>
      <c r="J282" s="179"/>
      <c r="K282" s="186">
        <v>4426000</v>
      </c>
      <c r="L282" s="186">
        <v>690000</v>
      </c>
      <c r="M282" s="180">
        <f>K282/L282</f>
        <v>6.4144927536231888</v>
      </c>
    </row>
    <row r="283" spans="1:13" s="71" customFormat="1" ht="13.5" customHeight="1" x14ac:dyDescent="0.2">
      <c r="A283" s="172"/>
      <c r="B283" s="171"/>
      <c r="C283" s="171"/>
      <c r="D283" s="185" t="s">
        <v>127</v>
      </c>
      <c r="E283" s="181">
        <v>44089</v>
      </c>
      <c r="F283" s="178">
        <v>8.2500000000000004E-2</v>
      </c>
      <c r="G283" s="178">
        <v>6.6250000000000003E-2</v>
      </c>
      <c r="H283" s="178">
        <v>6.9687499999999999E-2</v>
      </c>
      <c r="I283" s="179">
        <v>6.8165900000000001E-2</v>
      </c>
      <c r="J283" s="179"/>
      <c r="K283" s="186">
        <v>1463000</v>
      </c>
      <c r="L283" s="186">
        <v>920000</v>
      </c>
      <c r="M283" s="180">
        <f>K283/L283</f>
        <v>1.5902173913043478</v>
      </c>
    </row>
    <row r="284" spans="1:13" s="71" customFormat="1" ht="13.5" customHeight="1" x14ac:dyDescent="0.2">
      <c r="A284" s="172"/>
      <c r="B284" s="172"/>
      <c r="C284" s="172"/>
      <c r="D284" s="185" t="s">
        <v>129</v>
      </c>
      <c r="E284" s="181">
        <v>45153</v>
      </c>
      <c r="F284" s="178">
        <v>8.7499999999999994E-2</v>
      </c>
      <c r="G284" s="178">
        <v>7.0000000000000007E-2</v>
      </c>
      <c r="H284" s="178">
        <v>8.1562499999999996E-2</v>
      </c>
      <c r="I284" s="179">
        <v>7.2195300000000004E-2</v>
      </c>
      <c r="J284" s="179"/>
      <c r="K284" s="186">
        <v>1059200</v>
      </c>
      <c r="L284" s="186">
        <v>990000</v>
      </c>
      <c r="M284" s="180">
        <f>K284/L284</f>
        <v>1.0698989898989899</v>
      </c>
    </row>
    <row r="285" spans="1:13" s="71" customFormat="1" ht="13.5" customHeight="1" x14ac:dyDescent="0.2">
      <c r="A285" s="171"/>
      <c r="B285" s="171"/>
      <c r="C285" s="171"/>
      <c r="D285" s="185" t="s">
        <v>130</v>
      </c>
      <c r="E285" s="181">
        <v>48167</v>
      </c>
      <c r="F285" s="178">
        <v>8.8749999999999996E-2</v>
      </c>
      <c r="G285" s="178">
        <v>7.4999999999999997E-2</v>
      </c>
      <c r="H285" s="178">
        <v>7.7812500000000007E-2</v>
      </c>
      <c r="I285" s="178">
        <v>7.5499200000000002E-2</v>
      </c>
      <c r="J285" s="179"/>
      <c r="K285" s="186">
        <v>941800</v>
      </c>
      <c r="L285" s="168">
        <v>400000</v>
      </c>
      <c r="M285" s="180">
        <f>K285/L285</f>
        <v>2.3544999999999998</v>
      </c>
    </row>
    <row r="286" spans="1:13" s="71" customFormat="1" ht="13.5" customHeight="1" x14ac:dyDescent="0.2">
      <c r="A286" s="248" t="s">
        <v>133</v>
      </c>
      <c r="B286" s="249"/>
      <c r="C286" s="249"/>
      <c r="D286" s="249"/>
      <c r="E286" s="249"/>
      <c r="F286" s="249"/>
      <c r="G286" s="249"/>
      <c r="H286" s="249"/>
      <c r="I286" s="249"/>
      <c r="J286" s="250"/>
      <c r="K286" s="187">
        <f>SUM(K281:K285)</f>
        <v>9901000</v>
      </c>
      <c r="L286" s="187">
        <f>SUM(L281:L285)</f>
        <v>4000000</v>
      </c>
      <c r="M286" s="180"/>
    </row>
    <row r="287" spans="1:13" s="71" customFormat="1" ht="13.5" customHeight="1" x14ac:dyDescent="0.2">
      <c r="A287" s="177">
        <v>42640</v>
      </c>
      <c r="B287" s="177">
        <v>42642</v>
      </c>
      <c r="C287" s="177" t="s">
        <v>144</v>
      </c>
      <c r="D287" s="176" t="s">
        <v>190</v>
      </c>
      <c r="E287" s="181">
        <v>42894</v>
      </c>
      <c r="F287" s="182" t="s">
        <v>185</v>
      </c>
      <c r="G287" s="178">
        <v>5.9499999999999997E-2</v>
      </c>
      <c r="H287" s="178">
        <v>6.6000000000000003E-2</v>
      </c>
      <c r="I287" s="179">
        <v>6.0092600000000003E-2</v>
      </c>
      <c r="J287" s="179">
        <v>6.0999999999999999E-2</v>
      </c>
      <c r="K287" s="183">
        <v>2225000</v>
      </c>
      <c r="L287" s="184">
        <v>1350000</v>
      </c>
      <c r="M287" s="180">
        <f>K287/L287</f>
        <v>1.6481481481481481</v>
      </c>
    </row>
    <row r="288" spans="1:13" s="71" customFormat="1" ht="13.5" customHeight="1" x14ac:dyDescent="0.2">
      <c r="A288" s="177"/>
      <c r="B288" s="171"/>
      <c r="C288" s="171"/>
      <c r="D288" s="185" t="s">
        <v>35</v>
      </c>
      <c r="E288" s="181">
        <v>44696</v>
      </c>
      <c r="F288" s="178">
        <v>7.0000000000000007E-2</v>
      </c>
      <c r="G288" s="178">
        <v>6.6799999999999998E-2</v>
      </c>
      <c r="H288" s="178">
        <v>6.9000000000000006E-2</v>
      </c>
      <c r="I288" s="179">
        <v>6.7297899999999994E-2</v>
      </c>
      <c r="J288" s="179">
        <v>6.7799999999999999E-2</v>
      </c>
      <c r="K288" s="186">
        <v>6501300</v>
      </c>
      <c r="L288" s="186">
        <v>5900000</v>
      </c>
      <c r="M288" s="180">
        <f>K288/L288</f>
        <v>1.1019152542372881</v>
      </c>
    </row>
    <row r="289" spans="1:13" s="71" customFormat="1" ht="13.5" customHeight="1" x14ac:dyDescent="0.2">
      <c r="A289" s="172"/>
      <c r="B289" s="171"/>
      <c r="C289" s="171"/>
      <c r="D289" s="185" t="s">
        <v>43</v>
      </c>
      <c r="E289" s="181">
        <v>46522</v>
      </c>
      <c r="F289" s="178">
        <v>7.0000000000000007E-2</v>
      </c>
      <c r="G289" s="178">
        <v>6.8500000000000005E-2</v>
      </c>
      <c r="H289" s="178">
        <v>7.2700000000000001E-2</v>
      </c>
      <c r="I289" s="179">
        <v>6.9039500000000004E-2</v>
      </c>
      <c r="J289" s="179">
        <v>6.93E-2</v>
      </c>
      <c r="K289" s="186">
        <v>6495900</v>
      </c>
      <c r="L289" s="186">
        <v>3400000</v>
      </c>
      <c r="M289" s="180">
        <f>K289/L289</f>
        <v>1.9105588235294118</v>
      </c>
    </row>
    <row r="290" spans="1:13" s="71" customFormat="1" ht="13.5" customHeight="1" x14ac:dyDescent="0.2">
      <c r="A290" s="171"/>
      <c r="B290" s="171"/>
      <c r="C290" s="171"/>
      <c r="D290" s="185" t="s">
        <v>124</v>
      </c>
      <c r="E290" s="181">
        <v>49810</v>
      </c>
      <c r="F290" s="178">
        <v>8.2500000000000004E-2</v>
      </c>
      <c r="G290" s="178">
        <v>7.2499999999999995E-2</v>
      </c>
      <c r="H290" s="178">
        <v>0.08</v>
      </c>
      <c r="I290" s="178">
        <v>7.3588000000000001E-2</v>
      </c>
      <c r="J290" s="179">
        <v>7.3700000000000002E-2</v>
      </c>
      <c r="K290" s="186">
        <v>4508200</v>
      </c>
      <c r="L290" s="168">
        <v>3350000</v>
      </c>
      <c r="M290" s="180">
        <f>K290/L290</f>
        <v>1.345731343283582</v>
      </c>
    </row>
    <row r="291" spans="1:13" s="71" customFormat="1" ht="13.5" customHeight="1" x14ac:dyDescent="0.2">
      <c r="A291" s="248" t="s">
        <v>133</v>
      </c>
      <c r="B291" s="249"/>
      <c r="C291" s="249"/>
      <c r="D291" s="249"/>
      <c r="E291" s="249"/>
      <c r="F291" s="249"/>
      <c r="G291" s="249"/>
      <c r="H291" s="249"/>
      <c r="I291" s="249"/>
      <c r="J291" s="250"/>
      <c r="K291" s="187">
        <f>SUM(K287:K290)</f>
        <v>19730400</v>
      </c>
      <c r="L291" s="187">
        <f>SUM(L287:L290)</f>
        <v>14000000</v>
      </c>
      <c r="M291" s="180"/>
    </row>
    <row r="292" spans="1:13" x14ac:dyDescent="0.2">
      <c r="A292" s="251" t="s">
        <v>228</v>
      </c>
      <c r="B292" s="252"/>
      <c r="C292" s="252"/>
      <c r="D292" s="252"/>
      <c r="E292" s="252"/>
      <c r="F292" s="252"/>
      <c r="G292" s="252"/>
      <c r="H292" s="252"/>
      <c r="I292" s="252"/>
      <c r="J292" s="253"/>
      <c r="K292" s="175">
        <f>SUM(K258,K264,K266,K272,K278, K280,K291, K286)</f>
        <v>1133593935.2</v>
      </c>
      <c r="L292" s="175">
        <f>SUM(L258,L264,L266,L272,L278,L280,L286,L291)</f>
        <v>585667354</v>
      </c>
      <c r="M292" s="169"/>
    </row>
    <row r="293" spans="1:13" s="71" customFormat="1" ht="13.5" customHeight="1" x14ac:dyDescent="0.2">
      <c r="A293" s="241">
        <v>42647</v>
      </c>
      <c r="B293" s="177">
        <v>42649</v>
      </c>
      <c r="C293" s="177" t="s">
        <v>144</v>
      </c>
      <c r="D293" s="176" t="s">
        <v>221</v>
      </c>
      <c r="E293" s="181">
        <v>42815</v>
      </c>
      <c r="F293" s="182" t="s">
        <v>185</v>
      </c>
      <c r="G293" s="178">
        <v>5.8749999999999997E-2</v>
      </c>
      <c r="H293" s="178">
        <v>6.8750000000000006E-2</v>
      </c>
      <c r="I293" s="179">
        <v>5.9578100000000002E-2</v>
      </c>
      <c r="J293" s="179"/>
      <c r="K293" s="183">
        <v>1846000</v>
      </c>
      <c r="L293" s="184">
        <v>1000000</v>
      </c>
      <c r="M293" s="180">
        <f>K293/L293</f>
        <v>1.8460000000000001</v>
      </c>
    </row>
    <row r="294" spans="1:13" s="71" customFormat="1" ht="13.5" customHeight="1" x14ac:dyDescent="0.2">
      <c r="A294" s="241"/>
      <c r="B294" s="177"/>
      <c r="C294" s="171"/>
      <c r="D294" s="185" t="s">
        <v>222</v>
      </c>
      <c r="E294" s="181">
        <v>43600</v>
      </c>
      <c r="F294" s="178">
        <v>6.25E-2</v>
      </c>
      <c r="G294" s="178">
        <v>6.5000000000000002E-2</v>
      </c>
      <c r="H294" s="178">
        <v>7.0000000000000007E-2</v>
      </c>
      <c r="I294" s="179">
        <v>6.6865999999999995E-2</v>
      </c>
      <c r="J294" s="179"/>
      <c r="K294" s="186">
        <v>2000000</v>
      </c>
      <c r="L294" s="186">
        <v>1670000</v>
      </c>
      <c r="M294" s="180">
        <f>K294/L294</f>
        <v>1.1976047904191616</v>
      </c>
    </row>
    <row r="295" spans="1:13" s="71" customFormat="1" ht="13.5" customHeight="1" x14ac:dyDescent="0.2">
      <c r="A295" s="241"/>
      <c r="B295" s="177"/>
      <c r="C295" s="171"/>
      <c r="D295" s="185" t="s">
        <v>223</v>
      </c>
      <c r="E295" s="181">
        <v>44331</v>
      </c>
      <c r="F295" s="178">
        <v>6.5000000000000002E-2</v>
      </c>
      <c r="G295" s="178">
        <v>6.8125000000000005E-2</v>
      </c>
      <c r="H295" s="178">
        <v>7.1249999999999994E-2</v>
      </c>
      <c r="I295" s="179">
        <v>6.8899100000000005E-2</v>
      </c>
      <c r="J295" s="179"/>
      <c r="K295" s="186">
        <v>560000</v>
      </c>
      <c r="L295" s="186">
        <v>210000</v>
      </c>
      <c r="M295" s="180">
        <f>K295/L295</f>
        <v>2.6666666666666665</v>
      </c>
    </row>
    <row r="296" spans="1:13" s="71" customFormat="1" ht="13.5" customHeight="1" x14ac:dyDescent="0.2">
      <c r="A296" s="241"/>
      <c r="B296" s="177"/>
      <c r="C296" s="172"/>
      <c r="D296" s="185" t="s">
        <v>130</v>
      </c>
      <c r="E296" s="181">
        <v>48167</v>
      </c>
      <c r="F296" s="178">
        <v>8.8749999999999996E-2</v>
      </c>
      <c r="G296" s="178">
        <v>7.3749999999999996E-2</v>
      </c>
      <c r="H296" s="178">
        <v>0.08</v>
      </c>
      <c r="I296" s="179">
        <v>7.5198799999999996E-2</v>
      </c>
      <c r="J296" s="179"/>
      <c r="K296" s="186">
        <v>1020200</v>
      </c>
      <c r="L296" s="186">
        <v>670000</v>
      </c>
      <c r="M296" s="180">
        <f>K296/L296</f>
        <v>1.5226865671641792</v>
      </c>
    </row>
    <row r="297" spans="1:13" s="71" customFormat="1" ht="13.5" customHeight="1" x14ac:dyDescent="0.2">
      <c r="A297" s="248" t="s">
        <v>133</v>
      </c>
      <c r="B297" s="249"/>
      <c r="C297" s="249"/>
      <c r="D297" s="249"/>
      <c r="E297" s="249"/>
      <c r="F297" s="249"/>
      <c r="G297" s="249"/>
      <c r="H297" s="249"/>
      <c r="I297" s="249"/>
      <c r="J297" s="250"/>
      <c r="K297" s="187">
        <f>SUM(K293:K296)</f>
        <v>5426200</v>
      </c>
      <c r="L297" s="187">
        <f>SUM(L293:L296)</f>
        <v>3550000</v>
      </c>
      <c r="M297" s="180"/>
    </row>
    <row r="298" spans="1:13" s="71" customFormat="1" ht="13.5" customHeight="1" x14ac:dyDescent="0.2">
      <c r="A298" s="177">
        <v>42654</v>
      </c>
      <c r="B298" s="177">
        <v>42656</v>
      </c>
      <c r="C298" s="177" t="s">
        <v>144</v>
      </c>
      <c r="D298" s="176" t="s">
        <v>224</v>
      </c>
      <c r="E298" s="181">
        <v>42747</v>
      </c>
      <c r="F298" s="182" t="s">
        <v>185</v>
      </c>
      <c r="G298" s="178">
        <v>5.5500000000000001E-2</v>
      </c>
      <c r="H298" s="178">
        <v>6.25E-2</v>
      </c>
      <c r="I298" s="179">
        <v>5.6989999999999999E-2</v>
      </c>
      <c r="J298" s="179">
        <v>5.8500000000000003E-2</v>
      </c>
      <c r="K298" s="183">
        <v>1850000</v>
      </c>
      <c r="L298" s="184">
        <v>1000000</v>
      </c>
      <c r="M298" s="180">
        <f>K298/L298</f>
        <v>1.85</v>
      </c>
    </row>
    <row r="299" spans="1:13" s="71" customFormat="1" ht="13.5" customHeight="1" x14ac:dyDescent="0.2">
      <c r="A299" s="177"/>
      <c r="B299" s="171"/>
      <c r="C299" s="171"/>
      <c r="D299" s="185" t="s">
        <v>225</v>
      </c>
      <c r="E299" s="181">
        <v>43020</v>
      </c>
      <c r="F299" s="182" t="s">
        <v>185</v>
      </c>
      <c r="G299" s="178">
        <v>6.0499999999999998E-2</v>
      </c>
      <c r="H299" s="178">
        <v>6.9800000000000001E-2</v>
      </c>
      <c r="I299" s="179">
        <v>6.13929E-2</v>
      </c>
      <c r="J299" s="179">
        <v>6.1499999999999999E-2</v>
      </c>
      <c r="K299" s="186">
        <v>1685000</v>
      </c>
      <c r="L299" s="186">
        <v>900000</v>
      </c>
      <c r="M299" s="180">
        <f>K299/L299</f>
        <v>1.8722222222222222</v>
      </c>
    </row>
    <row r="300" spans="1:13" s="71" customFormat="1" ht="13.5" customHeight="1" x14ac:dyDescent="0.2">
      <c r="A300" s="177"/>
      <c r="B300" s="171"/>
      <c r="C300" s="171"/>
      <c r="D300" s="185" t="s">
        <v>35</v>
      </c>
      <c r="E300" s="181">
        <v>44696</v>
      </c>
      <c r="F300" s="178">
        <v>7.0000000000000007E-2</v>
      </c>
      <c r="G300" s="178">
        <v>6.8900000000000003E-2</v>
      </c>
      <c r="H300" s="178">
        <v>7.0999999999999994E-2</v>
      </c>
      <c r="I300" s="179">
        <v>6.9491899999999995E-2</v>
      </c>
      <c r="J300" s="179">
        <v>6.9699999999999998E-2</v>
      </c>
      <c r="K300" s="186">
        <v>4032100</v>
      </c>
      <c r="L300" s="186">
        <v>1400000</v>
      </c>
      <c r="M300" s="180">
        <f>K300/L300</f>
        <v>2.8800714285714286</v>
      </c>
    </row>
    <row r="301" spans="1:13" s="71" customFormat="1" ht="13.5" customHeight="1" x14ac:dyDescent="0.2">
      <c r="A301" s="172"/>
      <c r="B301" s="171"/>
      <c r="C301" s="171"/>
      <c r="D301" s="185" t="s">
        <v>131</v>
      </c>
      <c r="E301" s="181">
        <v>47983</v>
      </c>
      <c r="F301" s="178">
        <v>8.7499999999999994E-2</v>
      </c>
      <c r="G301" s="178">
        <v>7.3599999999999999E-2</v>
      </c>
      <c r="H301" s="178">
        <v>7.4800000000000005E-2</v>
      </c>
      <c r="I301" s="179">
        <v>7.38959E-2</v>
      </c>
      <c r="J301" s="179">
        <v>7.4099999999999999E-2</v>
      </c>
      <c r="K301" s="186">
        <v>3578400</v>
      </c>
      <c r="L301" s="186">
        <v>1800000</v>
      </c>
      <c r="M301" s="180">
        <f>K301/L301</f>
        <v>1.988</v>
      </c>
    </row>
    <row r="302" spans="1:13" s="71" customFormat="1" ht="13.5" customHeight="1" x14ac:dyDescent="0.2">
      <c r="A302" s="171"/>
      <c r="B302" s="171"/>
      <c r="C302" s="171"/>
      <c r="D302" s="185" t="s">
        <v>124</v>
      </c>
      <c r="E302" s="181">
        <v>49810</v>
      </c>
      <c r="F302" s="178">
        <v>8.2500000000000004E-2</v>
      </c>
      <c r="G302" s="178">
        <v>7.4499999999999997E-2</v>
      </c>
      <c r="H302" s="178">
        <v>7.6399999999999996E-2</v>
      </c>
      <c r="I302" s="178">
        <v>7.4987100000000001E-2</v>
      </c>
      <c r="J302" s="179">
        <v>7.51E-2</v>
      </c>
      <c r="K302" s="186">
        <v>1620300</v>
      </c>
      <c r="L302" s="168">
        <v>1050000</v>
      </c>
      <c r="M302" s="180">
        <f>K302/L302</f>
        <v>1.5431428571428571</v>
      </c>
    </row>
    <row r="303" spans="1:13" s="71" customFormat="1" ht="13.5" customHeight="1" x14ac:dyDescent="0.2">
      <c r="A303" s="248" t="s">
        <v>133</v>
      </c>
      <c r="B303" s="249"/>
      <c r="C303" s="249"/>
      <c r="D303" s="249"/>
      <c r="E303" s="249"/>
      <c r="F303" s="249"/>
      <c r="G303" s="249"/>
      <c r="H303" s="249"/>
      <c r="I303" s="249"/>
      <c r="J303" s="250"/>
      <c r="K303" s="187">
        <f>SUM(K298:K302)</f>
        <v>12765800</v>
      </c>
      <c r="L303" s="187">
        <f>SUM(L298:L302)</f>
        <v>6150000</v>
      </c>
      <c r="M303" s="180"/>
    </row>
    <row r="304" spans="1:13" s="71" customFormat="1" ht="13.5" customHeight="1" x14ac:dyDescent="0.2">
      <c r="A304" s="241">
        <v>42661</v>
      </c>
      <c r="B304" s="177">
        <v>42663</v>
      </c>
      <c r="C304" s="177" t="s">
        <v>144</v>
      </c>
      <c r="D304" s="176" t="s">
        <v>226</v>
      </c>
      <c r="E304" s="181">
        <v>42844</v>
      </c>
      <c r="F304" s="182" t="s">
        <v>185</v>
      </c>
      <c r="G304" s="178">
        <v>5.9687499999999998E-2</v>
      </c>
      <c r="H304" s="178">
        <v>0.12</v>
      </c>
      <c r="I304" s="179">
        <v>6.0064399999999997E-2</v>
      </c>
      <c r="J304" s="179"/>
      <c r="K304" s="183">
        <v>2163000</v>
      </c>
      <c r="L304" s="184">
        <v>1000000</v>
      </c>
      <c r="M304" s="180">
        <f>K304/L304</f>
        <v>2.1629999999999998</v>
      </c>
    </row>
    <row r="305" spans="1:13" s="71" customFormat="1" ht="13.5" customHeight="1" x14ac:dyDescent="0.2">
      <c r="A305" s="241"/>
      <c r="B305" s="177"/>
      <c r="C305" s="171"/>
      <c r="D305" s="185" t="s">
        <v>222</v>
      </c>
      <c r="E305" s="181">
        <v>43600</v>
      </c>
      <c r="F305" s="178">
        <v>6.25E-2</v>
      </c>
      <c r="G305" s="178">
        <v>6.6875000000000004E-2</v>
      </c>
      <c r="H305" s="178">
        <v>7.2499999999999995E-2</v>
      </c>
      <c r="I305" s="179">
        <v>6.8168000000000006E-2</v>
      </c>
      <c r="J305" s="179"/>
      <c r="K305" s="186">
        <v>714000</v>
      </c>
      <c r="L305" s="186">
        <v>400000</v>
      </c>
      <c r="M305" s="180">
        <f>K305/L305</f>
        <v>1.7849999999999999</v>
      </c>
    </row>
    <row r="306" spans="1:13" s="71" customFormat="1" ht="13.5" customHeight="1" x14ac:dyDescent="0.2">
      <c r="A306" s="241"/>
      <c r="B306" s="177"/>
      <c r="C306" s="171"/>
      <c r="D306" s="185" t="s">
        <v>223</v>
      </c>
      <c r="E306" s="181">
        <v>44331</v>
      </c>
      <c r="F306" s="178">
        <v>6.5000000000000002E-2</v>
      </c>
      <c r="G306" s="178">
        <v>7.0000000000000007E-2</v>
      </c>
      <c r="H306" s="178">
        <v>7.2499999999999995E-2</v>
      </c>
      <c r="I306" s="179">
        <v>7.11976E-2</v>
      </c>
      <c r="J306" s="179"/>
      <c r="K306" s="186">
        <v>327000</v>
      </c>
      <c r="L306" s="186">
        <v>300000</v>
      </c>
      <c r="M306" s="180">
        <f>K306/L306</f>
        <v>1.0900000000000001</v>
      </c>
    </row>
    <row r="307" spans="1:13" s="71" customFormat="1" ht="13.5" customHeight="1" x14ac:dyDescent="0.2">
      <c r="A307" s="241"/>
      <c r="B307" s="177"/>
      <c r="C307" s="172"/>
      <c r="D307" s="185" t="s">
        <v>130</v>
      </c>
      <c r="E307" s="181">
        <v>48167</v>
      </c>
      <c r="F307" s="178">
        <v>8.8749999999999996E-2</v>
      </c>
      <c r="G307" s="178">
        <v>7.5312500000000004E-2</v>
      </c>
      <c r="H307" s="178">
        <v>8.1562499999999996E-2</v>
      </c>
      <c r="I307" s="179">
        <v>7.5772199999999998E-2</v>
      </c>
      <c r="J307" s="179"/>
      <c r="K307" s="186">
        <v>832500</v>
      </c>
      <c r="L307" s="186">
        <v>820000</v>
      </c>
      <c r="M307" s="180">
        <f>K307/L307</f>
        <v>1.0152439024390243</v>
      </c>
    </row>
    <row r="308" spans="1:13" s="71" customFormat="1" ht="13.5" customHeight="1" x14ac:dyDescent="0.2">
      <c r="A308" s="248" t="s">
        <v>133</v>
      </c>
      <c r="B308" s="249"/>
      <c r="C308" s="249"/>
      <c r="D308" s="249"/>
      <c r="E308" s="249"/>
      <c r="F308" s="249"/>
      <c r="G308" s="249"/>
      <c r="H308" s="249"/>
      <c r="I308" s="249"/>
      <c r="J308" s="250"/>
      <c r="K308" s="187">
        <f>SUM(K304:K307)</f>
        <v>4036500</v>
      </c>
      <c r="L308" s="187">
        <f>SUM(L304:L307)</f>
        <v>2520000</v>
      </c>
      <c r="M308" s="180"/>
    </row>
    <row r="309" spans="1:13" s="71" customFormat="1" ht="13.5" customHeight="1" x14ac:dyDescent="0.2">
      <c r="A309" s="206">
        <v>42667</v>
      </c>
      <c r="B309" s="206">
        <v>42669</v>
      </c>
      <c r="C309" s="207" t="s">
        <v>142</v>
      </c>
      <c r="D309" s="208" t="s">
        <v>227</v>
      </c>
      <c r="E309" s="209">
        <v>43753</v>
      </c>
      <c r="F309" s="210">
        <v>6.6000000000000003E-2</v>
      </c>
      <c r="G309" s="210"/>
      <c r="H309" s="210"/>
      <c r="I309" s="210"/>
      <c r="J309" s="210"/>
      <c r="K309" s="211">
        <v>19848720</v>
      </c>
      <c r="L309" s="211">
        <v>19691455</v>
      </c>
      <c r="M309" s="180">
        <f>K309/L309</f>
        <v>1.0079864591011685</v>
      </c>
    </row>
    <row r="310" spans="1:13" s="71" customFormat="1" ht="13.5" customHeight="1" x14ac:dyDescent="0.2">
      <c r="A310" s="248" t="s">
        <v>133</v>
      </c>
      <c r="B310" s="249"/>
      <c r="C310" s="249"/>
      <c r="D310" s="249"/>
      <c r="E310" s="249"/>
      <c r="F310" s="249"/>
      <c r="G310" s="249"/>
      <c r="H310" s="249"/>
      <c r="I310" s="249"/>
      <c r="J310" s="250"/>
      <c r="K310" s="187">
        <f>K309</f>
        <v>19848720</v>
      </c>
      <c r="L310" s="187">
        <f>L309</f>
        <v>19691455</v>
      </c>
      <c r="M310" s="188"/>
    </row>
    <row r="311" spans="1:13" s="71" customFormat="1" ht="13.5" customHeight="1" x14ac:dyDescent="0.2">
      <c r="A311" s="177">
        <v>42668</v>
      </c>
      <c r="B311" s="177">
        <v>42670</v>
      </c>
      <c r="C311" s="177" t="s">
        <v>144</v>
      </c>
      <c r="D311" s="176" t="s">
        <v>212</v>
      </c>
      <c r="E311" s="181">
        <v>42951</v>
      </c>
      <c r="F311" s="182" t="s">
        <v>185</v>
      </c>
      <c r="G311" s="178">
        <v>5.8500000000000003E-2</v>
      </c>
      <c r="H311" s="178">
        <v>6.3799999999999996E-2</v>
      </c>
      <c r="I311" s="179">
        <v>5.9942099999999998E-2</v>
      </c>
      <c r="J311" s="179">
        <v>6.0999999999999999E-2</v>
      </c>
      <c r="K311" s="183">
        <v>2221000</v>
      </c>
      <c r="L311" s="184">
        <v>1900000</v>
      </c>
      <c r="M311" s="180">
        <f>K311/L311</f>
        <v>1.1689473684210527</v>
      </c>
    </row>
    <row r="312" spans="1:13" s="71" customFormat="1" ht="13.5" customHeight="1" x14ac:dyDescent="0.2">
      <c r="A312" s="177"/>
      <c r="B312" s="171"/>
      <c r="C312" s="171"/>
      <c r="D312" s="185" t="s">
        <v>43</v>
      </c>
      <c r="E312" s="181">
        <v>46522</v>
      </c>
      <c r="F312" s="178">
        <v>7.0000000000000007E-2</v>
      </c>
      <c r="G312" s="178">
        <v>6.9800000000000001E-2</v>
      </c>
      <c r="H312" s="178">
        <v>0.1</v>
      </c>
      <c r="I312" s="179">
        <v>7.0396799999999995E-2</v>
      </c>
      <c r="J312" s="179">
        <v>7.0800000000000002E-2</v>
      </c>
      <c r="K312" s="186">
        <v>8765500</v>
      </c>
      <c r="L312" s="186">
        <v>7400000</v>
      </c>
      <c r="M312" s="180">
        <f>K312/L312</f>
        <v>1.1845270270270269</v>
      </c>
    </row>
    <row r="313" spans="1:13" s="71" customFormat="1" ht="13.5" customHeight="1" x14ac:dyDescent="0.2">
      <c r="A313" s="177"/>
      <c r="B313" s="171"/>
      <c r="C313" s="171"/>
      <c r="D313" s="185" t="s">
        <v>131</v>
      </c>
      <c r="E313" s="181">
        <v>47983</v>
      </c>
      <c r="F313" s="178">
        <v>8.7499999999999994E-2</v>
      </c>
      <c r="G313" s="178">
        <v>7.3800000000000004E-2</v>
      </c>
      <c r="H313" s="178">
        <v>7.5999999999999998E-2</v>
      </c>
      <c r="I313" s="179">
        <v>7.4087899999999998E-2</v>
      </c>
      <c r="J313" s="179">
        <v>7.4200000000000002E-2</v>
      </c>
      <c r="K313" s="186">
        <v>1345000</v>
      </c>
      <c r="L313" s="186">
        <v>400000</v>
      </c>
      <c r="M313" s="180">
        <f>K313/L313</f>
        <v>3.3624999999999998</v>
      </c>
    </row>
    <row r="314" spans="1:13" s="71" customFormat="1" ht="13.5" customHeight="1" x14ac:dyDescent="0.2">
      <c r="A314" s="172"/>
      <c r="B314" s="171"/>
      <c r="C314" s="171"/>
      <c r="D314" s="185" t="s">
        <v>124</v>
      </c>
      <c r="E314" s="181">
        <v>49810</v>
      </c>
      <c r="F314" s="178">
        <v>8.2500000000000004E-2</v>
      </c>
      <c r="G314" s="178">
        <v>7.5499999999999998E-2</v>
      </c>
      <c r="H314" s="178">
        <v>7.7499999999999999E-2</v>
      </c>
      <c r="I314" s="179">
        <v>7.5993699999999997E-2</v>
      </c>
      <c r="J314" s="179">
        <v>7.6200000000000004E-2</v>
      </c>
      <c r="K314" s="186">
        <v>2495300</v>
      </c>
      <c r="L314" s="186">
        <v>1500000</v>
      </c>
      <c r="M314" s="180">
        <f>K314/L314</f>
        <v>1.6635333333333333</v>
      </c>
    </row>
    <row r="315" spans="1:13" s="71" customFormat="1" ht="13.5" customHeight="1" x14ac:dyDescent="0.2">
      <c r="A315" s="171"/>
      <c r="B315" s="171"/>
      <c r="C315" s="171"/>
      <c r="D315" s="185" t="s">
        <v>167</v>
      </c>
      <c r="E315" s="181">
        <v>52642</v>
      </c>
      <c r="F315" s="178">
        <v>8.7499999999999994E-2</v>
      </c>
      <c r="G315" s="178">
        <v>7.6499999999999999E-2</v>
      </c>
      <c r="H315" s="178">
        <v>8.2500000000000004E-2</v>
      </c>
      <c r="I315" s="178">
        <v>7.7306100000000003E-2</v>
      </c>
      <c r="J315" s="179">
        <v>7.7799999999999994E-2</v>
      </c>
      <c r="K315" s="186">
        <v>494500</v>
      </c>
      <c r="L315" s="168">
        <v>420000</v>
      </c>
      <c r="M315" s="180">
        <f>K315/L315</f>
        <v>1.1773809523809524</v>
      </c>
    </row>
    <row r="316" spans="1:13" s="71" customFormat="1" ht="13.5" customHeight="1" x14ac:dyDescent="0.2">
      <c r="A316" s="248" t="s">
        <v>133</v>
      </c>
      <c r="B316" s="249"/>
      <c r="C316" s="249"/>
      <c r="D316" s="249"/>
      <c r="E316" s="249"/>
      <c r="F316" s="249"/>
      <c r="G316" s="249"/>
      <c r="H316" s="249"/>
      <c r="I316" s="249"/>
      <c r="J316" s="250"/>
      <c r="K316" s="187">
        <f>SUM(K311:K315)</f>
        <v>15321300</v>
      </c>
      <c r="L316" s="187">
        <f>SUM(L311:L315)</f>
        <v>11620000</v>
      </c>
      <c r="M316" s="180"/>
    </row>
    <row r="317" spans="1:13" x14ac:dyDescent="0.2">
      <c r="A317" s="251" t="s">
        <v>229</v>
      </c>
      <c r="B317" s="252"/>
      <c r="C317" s="252"/>
      <c r="D317" s="252"/>
      <c r="E317" s="252"/>
      <c r="F317" s="252"/>
      <c r="G317" s="252"/>
      <c r="H317" s="252"/>
      <c r="I317" s="252"/>
      <c r="J317" s="253"/>
      <c r="K317" s="175">
        <f>SUM(K258,K264,K266,K272,K278,K280,K286,K291,K297,K303,K308,K310,K316)</f>
        <v>1190992455.2</v>
      </c>
      <c r="L317" s="175">
        <f>SUM(L258,L264,L266,L272,L278,L280,L286,L291,L297,L303,L308,L310,L316)</f>
        <v>629198809</v>
      </c>
      <c r="M317" s="169"/>
    </row>
    <row r="318" spans="1:13" s="71" customFormat="1" ht="13.5" customHeight="1" x14ac:dyDescent="0.2">
      <c r="A318" s="241">
        <v>42675</v>
      </c>
      <c r="B318" s="177">
        <v>42677</v>
      </c>
      <c r="C318" s="177" t="s">
        <v>144</v>
      </c>
      <c r="D318" s="176" t="s">
        <v>226</v>
      </c>
      <c r="E318" s="181">
        <v>42844</v>
      </c>
      <c r="F318" s="182" t="s">
        <v>185</v>
      </c>
      <c r="G318" s="178">
        <v>5.7500000000000002E-2</v>
      </c>
      <c r="H318" s="178">
        <v>6.7500000000000004E-2</v>
      </c>
      <c r="I318" s="179">
        <v>5.9922900000000001E-2</v>
      </c>
      <c r="J318" s="179"/>
      <c r="K318" s="183">
        <v>2146000</v>
      </c>
      <c r="L318" s="184">
        <v>1500000</v>
      </c>
      <c r="M318" s="180">
        <f>K318/L318</f>
        <v>1.4306666666666668</v>
      </c>
    </row>
    <row r="319" spans="1:13" s="71" customFormat="1" ht="13.5" customHeight="1" x14ac:dyDescent="0.2">
      <c r="A319" s="241"/>
      <c r="B319" s="177"/>
      <c r="C319" s="171"/>
      <c r="D319" s="185" t="s">
        <v>222</v>
      </c>
      <c r="E319" s="181">
        <v>43600</v>
      </c>
      <c r="F319" s="178">
        <v>6.25E-2</v>
      </c>
      <c r="G319" s="178">
        <v>6.7812499999999998E-2</v>
      </c>
      <c r="H319" s="178">
        <v>7.2187500000000002E-2</v>
      </c>
      <c r="I319" s="179">
        <v>6.8815500000000002E-2</v>
      </c>
      <c r="J319" s="179"/>
      <c r="K319" s="186">
        <v>1357000</v>
      </c>
      <c r="L319" s="186">
        <v>890000</v>
      </c>
      <c r="M319" s="180">
        <f>K319/L319</f>
        <v>1.5247191011235954</v>
      </c>
    </row>
    <row r="320" spans="1:13" s="71" customFormat="1" ht="13.5" customHeight="1" x14ac:dyDescent="0.2">
      <c r="A320" s="241"/>
      <c r="B320" s="177"/>
      <c r="C320" s="171"/>
      <c r="D320" s="185" t="s">
        <v>223</v>
      </c>
      <c r="E320" s="181">
        <v>44331</v>
      </c>
      <c r="F320" s="178">
        <v>6.5000000000000002E-2</v>
      </c>
      <c r="G320" s="178">
        <v>7.0937500000000001E-2</v>
      </c>
      <c r="H320" s="178">
        <v>7.3124999999999996E-2</v>
      </c>
      <c r="I320" s="179">
        <v>7.1556499999999995E-2</v>
      </c>
      <c r="J320" s="179"/>
      <c r="K320" s="186">
        <v>460000</v>
      </c>
      <c r="L320" s="186">
        <v>165000</v>
      </c>
      <c r="M320" s="180">
        <f>K320/L320</f>
        <v>2.7878787878787881</v>
      </c>
    </row>
    <row r="321" spans="1:13" s="71" customFormat="1" ht="13.5" customHeight="1" x14ac:dyDescent="0.2">
      <c r="A321" s="241"/>
      <c r="B321" s="177"/>
      <c r="C321" s="172"/>
      <c r="D321" s="185" t="s">
        <v>130</v>
      </c>
      <c r="E321" s="181">
        <v>48167</v>
      </c>
      <c r="F321" s="178">
        <v>8.8749999999999996E-2</v>
      </c>
      <c r="G321" s="178">
        <v>7.7812500000000007E-2</v>
      </c>
      <c r="H321" s="178">
        <v>8.1250000000000003E-2</v>
      </c>
      <c r="I321" s="179">
        <v>7.8785099999999997E-2</v>
      </c>
      <c r="J321" s="179"/>
      <c r="K321" s="186">
        <v>1012000</v>
      </c>
      <c r="L321" s="186">
        <v>1000000</v>
      </c>
      <c r="M321" s="180">
        <f>K321/L321</f>
        <v>1.012</v>
      </c>
    </row>
    <row r="322" spans="1:13" s="71" customFormat="1" ht="13.5" customHeight="1" x14ac:dyDescent="0.2">
      <c r="A322" s="248" t="s">
        <v>133</v>
      </c>
      <c r="B322" s="249"/>
      <c r="C322" s="249"/>
      <c r="D322" s="249"/>
      <c r="E322" s="249"/>
      <c r="F322" s="249"/>
      <c r="G322" s="249"/>
      <c r="H322" s="249"/>
      <c r="I322" s="249"/>
      <c r="J322" s="250"/>
      <c r="K322" s="187">
        <f>SUM(K318:K321)</f>
        <v>4975000</v>
      </c>
      <c r="L322" s="187">
        <f>SUM(L318:L321)</f>
        <v>3555000</v>
      </c>
      <c r="M322" s="180"/>
    </row>
    <row r="323" spans="1:13" s="71" customFormat="1" ht="13.5" customHeight="1" x14ac:dyDescent="0.2">
      <c r="A323" s="177">
        <v>42682</v>
      </c>
      <c r="B323" s="177">
        <v>42684</v>
      </c>
      <c r="C323" s="177" t="s">
        <v>144</v>
      </c>
      <c r="D323" s="176" t="s">
        <v>231</v>
      </c>
      <c r="E323" s="181">
        <v>42775</v>
      </c>
      <c r="F323" s="182" t="s">
        <v>185</v>
      </c>
      <c r="G323" s="178">
        <v>5.7000000000000002E-2</v>
      </c>
      <c r="H323" s="178">
        <v>0.06</v>
      </c>
      <c r="I323" s="179">
        <v>5.7708000000000002E-2</v>
      </c>
      <c r="J323" s="179">
        <v>5.8299999999999998E-2</v>
      </c>
      <c r="K323" s="183">
        <v>4415000</v>
      </c>
      <c r="L323" s="184">
        <v>2000000</v>
      </c>
      <c r="M323" s="180">
        <f>K323/L323</f>
        <v>2.2075</v>
      </c>
    </row>
    <row r="324" spans="1:13" s="71" customFormat="1" ht="13.5" customHeight="1" x14ac:dyDescent="0.2">
      <c r="A324" s="177"/>
      <c r="B324" s="171"/>
      <c r="C324" s="171"/>
      <c r="D324" s="185" t="s">
        <v>232</v>
      </c>
      <c r="E324" s="181">
        <v>43048</v>
      </c>
      <c r="F324" s="178" t="s">
        <v>185</v>
      </c>
      <c r="G324" s="178">
        <v>6.0999999999999999E-2</v>
      </c>
      <c r="H324" s="178">
        <v>6.5000000000000002E-2</v>
      </c>
      <c r="I324" s="179">
        <v>6.1865299999999998E-2</v>
      </c>
      <c r="J324" s="179">
        <v>6.2E-2</v>
      </c>
      <c r="K324" s="186">
        <v>1840000</v>
      </c>
      <c r="L324" s="186">
        <v>1250000</v>
      </c>
      <c r="M324" s="180">
        <f>K324/L324</f>
        <v>1.472</v>
      </c>
    </row>
    <row r="325" spans="1:13" s="71" customFormat="1" ht="13.5" customHeight="1" x14ac:dyDescent="0.2">
      <c r="A325" s="177"/>
      <c r="B325" s="171"/>
      <c r="C325" s="171"/>
      <c r="D325" s="185" t="s">
        <v>35</v>
      </c>
      <c r="E325" s="181">
        <v>44696</v>
      </c>
      <c r="F325" s="178">
        <v>7.0000000000000007E-2</v>
      </c>
      <c r="G325" s="178">
        <v>6.9500000000000006E-2</v>
      </c>
      <c r="H325" s="178">
        <v>7.2499999999999995E-2</v>
      </c>
      <c r="I325" s="179">
        <v>6.96991E-2</v>
      </c>
      <c r="J325" s="179">
        <v>7.0000000000000007E-2</v>
      </c>
      <c r="K325" s="186">
        <v>5678400</v>
      </c>
      <c r="L325" s="186">
        <v>3850000</v>
      </c>
      <c r="M325" s="180">
        <f>K325/L325</f>
        <v>1.4749090909090909</v>
      </c>
    </row>
    <row r="326" spans="1:13" s="71" customFormat="1" ht="13.5" customHeight="1" x14ac:dyDescent="0.2">
      <c r="A326" s="172"/>
      <c r="B326" s="171"/>
      <c r="C326" s="171"/>
      <c r="D326" s="185" t="s">
        <v>43</v>
      </c>
      <c r="E326" s="181">
        <v>46522</v>
      </c>
      <c r="F326" s="178">
        <v>7.0000000000000007E-2</v>
      </c>
      <c r="G326" s="178">
        <v>7.2999999999999995E-2</v>
      </c>
      <c r="H326" s="178">
        <v>7.4999999999999997E-2</v>
      </c>
      <c r="I326" s="179">
        <v>7.3397900000000002E-2</v>
      </c>
      <c r="J326" s="179">
        <v>7.3599999999999999E-2</v>
      </c>
      <c r="K326" s="186">
        <v>8050100</v>
      </c>
      <c r="L326" s="186">
        <v>4050000</v>
      </c>
      <c r="M326" s="180">
        <f>K326/L326</f>
        <v>1.9876790123456791</v>
      </c>
    </row>
    <row r="327" spans="1:13" s="71" customFormat="1" ht="13.5" customHeight="1" x14ac:dyDescent="0.2">
      <c r="A327" s="171"/>
      <c r="B327" s="171"/>
      <c r="C327" s="171"/>
      <c r="D327" s="185" t="s">
        <v>233</v>
      </c>
      <c r="E327" s="181">
        <v>48441</v>
      </c>
      <c r="F327" s="178">
        <v>7.4999999999999997E-2</v>
      </c>
      <c r="G327" s="178">
        <v>7.6999999999999999E-2</v>
      </c>
      <c r="H327" s="178">
        <v>7.85E-2</v>
      </c>
      <c r="I327" s="178">
        <v>7.7687099999999995E-2</v>
      </c>
      <c r="J327" s="179">
        <v>7.7899999999999997E-2</v>
      </c>
      <c r="K327" s="186">
        <v>2531000</v>
      </c>
      <c r="L327" s="168">
        <v>1750000</v>
      </c>
      <c r="M327" s="180">
        <f>K327/L327</f>
        <v>1.4462857142857144</v>
      </c>
    </row>
    <row r="328" spans="1:13" s="71" customFormat="1" ht="13.5" customHeight="1" x14ac:dyDescent="0.2">
      <c r="A328" s="248" t="s">
        <v>133</v>
      </c>
      <c r="B328" s="249"/>
      <c r="C328" s="249"/>
      <c r="D328" s="249"/>
      <c r="E328" s="249"/>
      <c r="F328" s="249"/>
      <c r="G328" s="249"/>
      <c r="H328" s="249"/>
      <c r="I328" s="249"/>
      <c r="J328" s="250"/>
      <c r="K328" s="187">
        <f>SUM(K323:K327)</f>
        <v>22514500</v>
      </c>
      <c r="L328" s="187">
        <f>SUM(L323:L327)</f>
        <v>12900000</v>
      </c>
      <c r="M328" s="180"/>
    </row>
    <row r="329" spans="1:13" x14ac:dyDescent="0.2">
      <c r="A329" s="251" t="s">
        <v>234</v>
      </c>
      <c r="B329" s="252"/>
      <c r="C329" s="252"/>
      <c r="D329" s="252"/>
      <c r="E329" s="252"/>
      <c r="F329" s="252"/>
      <c r="G329" s="252"/>
      <c r="H329" s="252"/>
      <c r="I329" s="252"/>
      <c r="J329" s="253"/>
      <c r="K329" s="175">
        <f>SUM(K317,K322, K328)</f>
        <v>1218481955.2</v>
      </c>
      <c r="L329" s="175">
        <f>SUM(L317,L322, L328)</f>
        <v>645653809</v>
      </c>
      <c r="M329" s="169"/>
    </row>
    <row r="330" spans="1:13" s="71" customFormat="1" ht="13.5" customHeight="1" x14ac:dyDescent="0.2">
      <c r="A330" s="177">
        <v>42710</v>
      </c>
      <c r="B330" s="177">
        <v>42712</v>
      </c>
      <c r="C330" s="177" t="s">
        <v>144</v>
      </c>
      <c r="D330" s="176" t="s">
        <v>236</v>
      </c>
      <c r="E330" s="181">
        <v>42801</v>
      </c>
      <c r="F330" s="182" t="s">
        <v>185</v>
      </c>
      <c r="G330" s="178">
        <v>5.7200000000000001E-2</v>
      </c>
      <c r="H330" s="178">
        <v>6.7500000000000004E-2</v>
      </c>
      <c r="I330" s="179">
        <v>5.8817500000000002E-2</v>
      </c>
      <c r="J330" s="179">
        <v>5.91E-2</v>
      </c>
      <c r="K330" s="183">
        <v>4466000</v>
      </c>
      <c r="L330" s="184">
        <v>2000000</v>
      </c>
      <c r="M330" s="180">
        <f>K330/L330</f>
        <v>2.2330000000000001</v>
      </c>
    </row>
    <row r="331" spans="1:13" s="71" customFormat="1" ht="13.5" customHeight="1" x14ac:dyDescent="0.2">
      <c r="A331" s="177"/>
      <c r="B331" s="171"/>
      <c r="C331" s="171"/>
      <c r="D331" s="185" t="s">
        <v>237</v>
      </c>
      <c r="E331" s="181">
        <v>43076</v>
      </c>
      <c r="F331" s="178" t="s">
        <v>185</v>
      </c>
      <c r="G331" s="178">
        <v>6.4500000000000002E-2</v>
      </c>
      <c r="H331" s="178">
        <v>7.4999999999999997E-2</v>
      </c>
      <c r="I331" s="179">
        <v>6.6250000000000003E-2</v>
      </c>
      <c r="J331" s="179">
        <v>6.7000000000000004E-2</v>
      </c>
      <c r="K331" s="186">
        <v>3861000</v>
      </c>
      <c r="L331" s="186">
        <v>800000</v>
      </c>
      <c r="M331" s="180">
        <f>K331/L331</f>
        <v>4.8262499999999999</v>
      </c>
    </row>
    <row r="332" spans="1:13" s="71" customFormat="1" ht="13.5" customHeight="1" x14ac:dyDescent="0.2">
      <c r="A332" s="177"/>
      <c r="B332" s="171"/>
      <c r="C332" s="171"/>
      <c r="D332" s="185" t="s">
        <v>35</v>
      </c>
      <c r="E332" s="181">
        <v>44696</v>
      </c>
      <c r="F332" s="178">
        <v>7.0000000000000007E-2</v>
      </c>
      <c r="G332" s="178">
        <v>7.5899999999999995E-2</v>
      </c>
      <c r="H332" s="178">
        <v>0.08</v>
      </c>
      <c r="I332" s="179">
        <v>7.6382599999999995E-2</v>
      </c>
      <c r="J332" s="179">
        <v>7.6700000000000004E-2</v>
      </c>
      <c r="K332" s="186">
        <v>8545400</v>
      </c>
      <c r="L332" s="186">
        <v>1800000</v>
      </c>
      <c r="M332" s="180">
        <f>K332/L332</f>
        <v>4.7474444444444446</v>
      </c>
    </row>
    <row r="333" spans="1:13" s="71" customFormat="1" ht="13.5" customHeight="1" x14ac:dyDescent="0.2">
      <c r="A333" s="172"/>
      <c r="B333" s="171"/>
      <c r="C333" s="171"/>
      <c r="D333" s="185" t="s">
        <v>43</v>
      </c>
      <c r="E333" s="181">
        <v>46522</v>
      </c>
      <c r="F333" s="178">
        <v>7.0000000000000007E-2</v>
      </c>
      <c r="G333" s="178">
        <v>7.8899999999999998E-2</v>
      </c>
      <c r="H333" s="178">
        <v>8.1500000000000003E-2</v>
      </c>
      <c r="I333" s="179">
        <v>7.8917000000000001E-2</v>
      </c>
      <c r="J333" s="179">
        <v>7.9000000000000001E-2</v>
      </c>
      <c r="K333" s="186">
        <v>10667400</v>
      </c>
      <c r="L333" s="186">
        <v>1600000</v>
      </c>
      <c r="M333" s="180">
        <f>K333/L333</f>
        <v>6.6671250000000004</v>
      </c>
    </row>
    <row r="334" spans="1:13" s="71" customFormat="1" ht="13.5" customHeight="1" x14ac:dyDescent="0.2">
      <c r="A334" s="171"/>
      <c r="B334" s="171"/>
      <c r="C334" s="171"/>
      <c r="D334" s="185" t="s">
        <v>124</v>
      </c>
      <c r="E334" s="181">
        <v>49902</v>
      </c>
      <c r="F334" s="178">
        <v>8.2500000000000004E-2</v>
      </c>
      <c r="G334" s="178">
        <v>8.1799999999999998E-2</v>
      </c>
      <c r="H334" s="178">
        <v>8.5000000000000006E-2</v>
      </c>
      <c r="I334" s="178" t="s">
        <v>239</v>
      </c>
      <c r="J334" s="179" t="s">
        <v>239</v>
      </c>
      <c r="K334" s="186">
        <v>1747800</v>
      </c>
      <c r="L334" s="168"/>
      <c r="M334" s="180" t="s">
        <v>239</v>
      </c>
    </row>
    <row r="335" spans="1:13" s="71" customFormat="1" ht="13.5" customHeight="1" x14ac:dyDescent="0.2">
      <c r="A335" s="248" t="s">
        <v>133</v>
      </c>
      <c r="B335" s="249"/>
      <c r="C335" s="249"/>
      <c r="D335" s="249"/>
      <c r="E335" s="249"/>
      <c r="F335" s="249"/>
      <c r="G335" s="249"/>
      <c r="H335" s="249"/>
      <c r="I335" s="249"/>
      <c r="J335" s="250"/>
      <c r="K335" s="187">
        <f>SUM(K330:K334)</f>
        <v>29287600</v>
      </c>
      <c r="L335" s="187">
        <f>SUM(L330:L334)</f>
        <v>6200000</v>
      </c>
      <c r="M335" s="180"/>
    </row>
    <row r="336" spans="1:13" x14ac:dyDescent="0.2">
      <c r="A336" s="251" t="s">
        <v>238</v>
      </c>
      <c r="B336" s="252"/>
      <c r="C336" s="252"/>
      <c r="D336" s="252"/>
      <c r="E336" s="252"/>
      <c r="F336" s="252"/>
      <c r="G336" s="252"/>
      <c r="H336" s="252"/>
      <c r="I336" s="252"/>
      <c r="J336" s="253"/>
      <c r="K336" s="175">
        <f>SUM(K329, K335)</f>
        <v>1247769555.2</v>
      </c>
      <c r="L336" s="175">
        <f>SUM(L329, L335)</f>
        <v>651853809</v>
      </c>
      <c r="M336" s="169"/>
    </row>
  </sheetData>
  <mergeCells count="82">
    <mergeCell ref="A335:J335"/>
    <mergeCell ref="A336:J336"/>
    <mergeCell ref="L2:M2"/>
    <mergeCell ref="A257:J257"/>
    <mergeCell ref="A227:J227"/>
    <mergeCell ref="A132:J132"/>
    <mergeCell ref="A133:J133"/>
    <mergeCell ref="A226:J226"/>
    <mergeCell ref="A233:J233"/>
    <mergeCell ref="A214:J214"/>
    <mergeCell ref="A220:J220"/>
    <mergeCell ref="A173:J173"/>
    <mergeCell ref="A206:J206"/>
    <mergeCell ref="A161:J161"/>
    <mergeCell ref="A151:J151"/>
    <mergeCell ref="A139:J139"/>
    <mergeCell ref="A167:J167"/>
    <mergeCell ref="A308:J308"/>
    <mergeCell ref="A316:J316"/>
    <mergeCell ref="A310:J310"/>
    <mergeCell ref="A292:J292"/>
    <mergeCell ref="A303:J303"/>
    <mergeCell ref="A272:J272"/>
    <mergeCell ref="A246:J246"/>
    <mergeCell ref="C242:C245"/>
    <mergeCell ref="B242:B245"/>
    <mergeCell ref="A242:A245"/>
    <mergeCell ref="A258:J258"/>
    <mergeCell ref="A204:J204"/>
    <mergeCell ref="A197:J197"/>
    <mergeCell ref="A203:J203"/>
    <mergeCell ref="A41:J41"/>
    <mergeCell ref="A69:J69"/>
    <mergeCell ref="A75:J75"/>
    <mergeCell ref="A77:J77"/>
    <mergeCell ref="A87:J87"/>
    <mergeCell ref="A63:J63"/>
    <mergeCell ref="A43:J43"/>
    <mergeCell ref="A49:J49"/>
    <mergeCell ref="A54:J54"/>
    <mergeCell ref="A62:J62"/>
    <mergeCell ref="A56:J56"/>
    <mergeCell ref="A79:J79"/>
    <mergeCell ref="A81:J81"/>
    <mergeCell ref="A11:J11"/>
    <mergeCell ref="A17:J17"/>
    <mergeCell ref="A23:J23"/>
    <mergeCell ref="A28:J28"/>
    <mergeCell ref="A35:J35"/>
    <mergeCell ref="A34:J34"/>
    <mergeCell ref="A92:J92"/>
    <mergeCell ref="A194:J194"/>
    <mergeCell ref="A178:J178"/>
    <mergeCell ref="A189:J189"/>
    <mergeCell ref="A130:J130"/>
    <mergeCell ref="A124:J124"/>
    <mergeCell ref="A98:J98"/>
    <mergeCell ref="A160:J160"/>
    <mergeCell ref="A155:J155"/>
    <mergeCell ref="A103:J103"/>
    <mergeCell ref="A118:J118"/>
    <mergeCell ref="A145:J145"/>
    <mergeCell ref="A184:J184"/>
    <mergeCell ref="A104:J104"/>
    <mergeCell ref="A112:J112"/>
    <mergeCell ref="A153:J153"/>
    <mergeCell ref="A328:J328"/>
    <mergeCell ref="A322:J322"/>
    <mergeCell ref="A329:J329"/>
    <mergeCell ref="A208:J208"/>
    <mergeCell ref="A110:J110"/>
    <mergeCell ref="A291:J291"/>
    <mergeCell ref="A297:J297"/>
    <mergeCell ref="A286:J286"/>
    <mergeCell ref="A251:J251"/>
    <mergeCell ref="A280:J280"/>
    <mergeCell ref="A278:J278"/>
    <mergeCell ref="A317:J317"/>
    <mergeCell ref="A241:J241"/>
    <mergeCell ref="A235:J235"/>
    <mergeCell ref="A264:J264"/>
    <mergeCell ref="A266:J266"/>
  </mergeCells>
  <phoneticPr fontId="0" type="noConversion"/>
  <printOptions horizontalCentered="1"/>
  <pageMargins left="0" right="0" top="0.39370078740157499" bottom="0" header="0.15748031496063" footer="0.196850393700787"/>
  <pageSetup paperSize="9" scale="87" orientation="landscape" r:id="rId1"/>
  <headerFooter alignWithMargins="0">
    <oddFooter>Page &amp;P of &amp;N</oddFooter>
  </headerFooter>
  <rowBreaks count="6" manualBreakCount="6">
    <brk id="35" max="12" man="1"/>
    <brk id="63" max="12" man="1"/>
    <brk id="104" max="12" man="1"/>
    <brk id="133" max="12" man="1"/>
    <brk id="161" max="12" man="1"/>
    <brk id="206" max="12" man="1"/>
  </rowBreaks>
  <ignoredErrors>
    <ignoredError sqref="L25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Contoh_SBN</vt:lpstr>
      <vt:lpstr>SBN</vt:lpstr>
      <vt:lpstr>Contoh_SBN!Print_Area</vt:lpstr>
      <vt:lpstr>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rahman</cp:lastModifiedBy>
  <cp:lastPrinted>2016-08-04T06:40:54Z</cp:lastPrinted>
  <dcterms:created xsi:type="dcterms:W3CDTF">2010-01-14T01:56:27Z</dcterms:created>
  <dcterms:modified xsi:type="dcterms:W3CDTF">2017-01-24T03:08:15Z</dcterms:modified>
</cp:coreProperties>
</file>